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0" yWindow="65401" windowWidth="9420" windowHeight="11625" tabRatio="863" activeTab="3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 .sz.m. Létszám (2)" sheetId="8" r:id="rId8"/>
    <sheet name="7.a.sz.m.fejlesztés (3)" sheetId="9" r:id="rId9"/>
    <sheet name="7.b.sz.m.intfejl (2)" sheetId="10" r:id="rId10"/>
    <sheet name="8.sz.m.Dologi kiadás (3)" sheetId="11" r:id="rId11"/>
    <sheet name="9.sz.m.szociális kiadások (2)" sheetId="12" r:id="rId12"/>
    <sheet name="10.sz.m.átadott pe (3)" sheetId="13" r:id="rId13"/>
    <sheet name="11. saját bevételek" sheetId="14" r:id="rId14"/>
    <sheet name="12. sz.m. előir felh terv" sheetId="15" r:id="rId15"/>
    <sheet name="13.sz.m. állami támogatás " sheetId="16" r:id="rId16"/>
    <sheet name="üres lap" sheetId="17" r:id="rId17"/>
  </sheets>
  <definedNames>
    <definedName name="_xlnm.Print_Area" localSheetId="1">'1 .sz.m.önk.össz.kiad.'!$A$1:$AD$66</definedName>
    <definedName name="_xlnm.Print_Area" localSheetId="0">'1.sz.m-önk.össze.bev'!$A$1:$W$64</definedName>
    <definedName name="_xlnm.Print_Area" localSheetId="12">'10.sz.m.átadott pe (3)'!$A$1:$AB$116</definedName>
    <definedName name="_xlnm.Print_Area" localSheetId="14">'12. sz.m. előir felh terv'!$A$1:$O$22</definedName>
    <definedName name="_xlnm.Print_Area" localSheetId="2">'2.sz.m.összehasonlító'!$A$1:$N$32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Hiv'!$A$1:$Z$52</definedName>
    <definedName name="_xlnm.Print_Area" localSheetId="6">'5.2 sz. m ÁMK'!$A$1:$U$56</definedName>
    <definedName name="_xlnm.Print_Area" localSheetId="7">'6 .sz.m. Létszám (2)'!$A$1:$AI$16</definedName>
    <definedName name="_xlnm.Print_Area" localSheetId="8">'7.a.sz.m.fejlesztés (3)'!$A$1:$X$43</definedName>
    <definedName name="_xlnm.Print_Area" localSheetId="9">'7.b.sz.m.intfejl (2)'!$A$1:$J$21</definedName>
    <definedName name="_xlnm.Print_Area" localSheetId="10">'8.sz.m.Dologi kiadás (3)'!$A$1:$X$29</definedName>
    <definedName name="_xlnm.Print_Area" localSheetId="11">'9.sz.m.szociális kiadások (2)'!$A$1:$W$36</definedName>
    <definedName name="_xlnm.Print_Area" localSheetId="16">'üres lap'!$A$1:$R$44</definedName>
  </definedNames>
  <calcPr fullCalcOnLoad="1"/>
</workbook>
</file>

<file path=xl/sharedStrings.xml><?xml version="1.0" encoding="utf-8"?>
<sst xmlns="http://schemas.openxmlformats.org/spreadsheetml/2006/main" count="1540" uniqueCount="641">
  <si>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</si>
  <si>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</si>
  <si>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</si>
  <si>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</si>
  <si>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</si>
  <si>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</si>
  <si>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</si>
  <si>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</si>
  <si>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</si>
  <si>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</si>
  <si>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</si>
  <si>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</si>
  <si>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</si>
  <si>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</si>
  <si>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</si>
  <si>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</si>
  <si>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</si>
  <si>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</si>
  <si>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</si>
  <si>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</si>
  <si>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</si>
  <si>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</si>
  <si>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</si>
  <si>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</si>
  <si>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</si>
  <si>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</si>
  <si>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</si>
  <si>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</si>
  <si>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</si>
  <si>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</si>
  <si>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</si>
  <si>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</si>
  <si>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</si>
  <si>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</si>
  <si>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</si>
  <si>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</si>
  <si>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</si>
  <si>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</si>
  <si>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</si>
  <si>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</si>
  <si>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</si>
  <si>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</si>
  <si>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</si>
  <si>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</si>
  <si>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</si>
  <si>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</si>
  <si>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</si>
  <si>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</si>
  <si>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</si>
  <si>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</si>
  <si>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</si>
  <si>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</si>
  <si>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</si>
  <si>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</si>
  <si>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</si>
  <si>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</si>
  <si>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</si>
  <si>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</si>
  <si>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</si>
  <si>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</si>
  <si>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</si>
  <si>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</si>
  <si>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</si>
  <si>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</si>
  <si>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</si>
  <si>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</si>
  <si>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</si>
  <si>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</si>
  <si>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</si>
  <si>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</si>
  <si>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</si>
  <si>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</si>
  <si>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</si>
  <si>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</si>
  <si>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</si>
  <si>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</si>
  <si>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</si>
  <si>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</si>
  <si>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</si>
  <si>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</si>
  <si>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</si>
  <si>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</si>
  <si>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</si>
  <si>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</si>
  <si>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</si>
  <si>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</si>
  <si>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</si>
  <si>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</si>
  <si>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</si>
  <si>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</si>
  <si>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</si>
  <si>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</si>
  <si>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</si>
  <si>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</si>
  <si>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</si>
  <si>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</si>
  <si>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</si>
  <si>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</si>
  <si>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</si>
  <si>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</si>
  <si>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</si>
  <si>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</si>
  <si>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</si>
  <si>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</si>
  <si>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</si>
  <si>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</si>
  <si>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</si>
  <si>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</si>
  <si>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</si>
  <si>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</si>
  <si>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</si>
  <si>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</si>
  <si>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</si>
  <si>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</si>
  <si>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</si>
  <si>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</si>
  <si>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</si>
  <si>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</si>
  <si>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</si>
  <si>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</si>
  <si>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</si>
  <si>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</si>
  <si>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</si>
  <si>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</si>
  <si>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</si>
  <si>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</si>
  <si>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</si>
  <si>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</si>
  <si>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</si>
  <si>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</si>
  <si>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</si>
  <si>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</si>
  <si>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</si>
  <si>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</si>
  <si>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</si>
  <si>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</si>
  <si>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</si>
  <si>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</si>
  <si>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</si>
  <si>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</si>
  <si>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</si>
  <si>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</si>
  <si>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</si>
  <si>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</si>
  <si>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</si>
  <si>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</si>
  <si>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</si>
  <si>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</si>
  <si>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</si>
  <si>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</si>
  <si>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</si>
  <si>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</si>
  <si>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</si>
  <si>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</si>
  <si>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</si>
  <si>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</si>
  <si>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</si>
  <si>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</si>
  <si>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</si>
  <si>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</si>
  <si>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</si>
  <si>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</si>
  <si>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</si>
  <si>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</si>
  <si>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</si>
  <si>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</si>
  <si>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</si>
  <si>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</si>
  <si>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</si>
  <si>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</si>
  <si>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</si>
  <si>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</si>
  <si>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</si>
  <si>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</si>
  <si>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</si>
  <si>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</si>
  <si>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</si>
  <si>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</si>
  <si>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</si>
  <si>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</si>
  <si>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</si>
  <si>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</si>
  <si>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</si>
  <si>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</si>
  <si>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</si>
  <si>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</si>
  <si>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</si>
  <si>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</si>
  <si>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</si>
  <si>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</si>
  <si>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</si>
  <si>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</si>
  <si>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</si>
  <si>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</si>
  <si>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</si>
  <si>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</si>
  <si>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</si>
  <si>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6.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</si>
  <si>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</si>
  <si>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</si>
  <si>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</si>
  <si>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</si>
  <si>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</si>
  <si>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</si>
  <si>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</si>
  <si>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</si>
  <si>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</si>
  <si>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</si>
  <si>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</si>
  <si>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</si>
  <si>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</si>
  <si>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</si>
  <si>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</si>
  <si>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</si>
  <si>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</si>
  <si>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</si>
  <si>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</si>
  <si>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</si>
  <si>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</si>
  <si>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</si>
  <si>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Beledi Közös Önkormányzati Hivatal*</t>
  </si>
  <si>
    <t>Államháztartáson belülre</t>
  </si>
  <si>
    <t>4. számú melléklet 1.5.3 és 2.3.2 sorainak részletezése</t>
  </si>
  <si>
    <t>Rendőrörs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</si>
  <si>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</si>
  <si>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</si>
  <si>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</si>
  <si>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</si>
  <si>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</si>
  <si>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</si>
  <si>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</si>
  <si>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</si>
  <si>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</si>
  <si>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</si>
  <si>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</si>
  <si>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</si>
  <si>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</si>
  <si>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</si>
  <si>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</si>
  <si>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</si>
  <si>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</si>
  <si>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</si>
  <si>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</si>
  <si>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Rábaköz Vidékfejlesztési Egyesület tagdíj</t>
  </si>
  <si>
    <t>Móvár Nagytérségi Hulladékgazd. Témamenedzselés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</si>
  <si>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</si>
  <si>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</si>
  <si>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</si>
  <si>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</si>
  <si>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</si>
  <si>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</si>
  <si>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</si>
  <si>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</si>
  <si>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</si>
  <si>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</si>
  <si>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</si>
  <si>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</si>
  <si>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</si>
  <si>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</si>
  <si>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</si>
  <si>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</si>
  <si>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</si>
  <si>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</si>
  <si>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</si>
  <si>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</si>
  <si>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</si>
  <si>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</si>
  <si>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</si>
  <si>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</si>
  <si>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</si>
  <si>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</si>
  <si>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</si>
  <si>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</si>
  <si>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</si>
  <si>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</si>
  <si>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</si>
  <si>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</si>
  <si>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</si>
  <si>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</si>
  <si>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</si>
  <si>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</si>
  <si>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</si>
  <si>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</si>
  <si>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</si>
  <si>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</si>
  <si>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</si>
  <si>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</si>
  <si>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</si>
  <si>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</si>
  <si>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</si>
  <si>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</si>
  <si>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</si>
  <si>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</si>
  <si>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</si>
  <si>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</si>
  <si>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</si>
  <si>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</si>
  <si>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</si>
  <si>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</si>
  <si>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</si>
  <si>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</si>
  <si>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</si>
  <si>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</si>
  <si>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</si>
  <si>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</si>
  <si>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</si>
  <si>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</si>
  <si>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</si>
  <si>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</si>
  <si>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</si>
  <si>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</si>
  <si>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</si>
  <si>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</si>
  <si>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</si>
  <si>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</si>
  <si>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</si>
  <si>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</si>
  <si>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</si>
  <si>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</si>
  <si>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</si>
  <si>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</si>
  <si>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</si>
  <si>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</si>
  <si>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</si>
  <si>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</si>
  <si>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</si>
  <si>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</si>
  <si>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</si>
  <si>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</si>
  <si>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</si>
  <si>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</si>
  <si>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</si>
  <si>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</si>
  <si>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</si>
  <si>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</si>
  <si>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</si>
  <si>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</si>
  <si>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</si>
  <si>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</si>
  <si>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</si>
  <si>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</si>
  <si>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</si>
  <si>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ügyviteli, számtech. eszközök beszerzése</t>
  </si>
  <si>
    <t>01. Helyi önkormányzatok működésének általnos támogatása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</si>
  <si>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</si>
  <si>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</si>
  <si>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</si>
  <si>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</si>
  <si>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</si>
  <si>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</si>
  <si>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</si>
  <si>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</si>
  <si>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</si>
  <si>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Fejlesztési támogatás (sportcsarnok - felhalmozási)</t>
  </si>
  <si>
    <t>Telj.%</t>
  </si>
  <si>
    <t>3.5</t>
  </si>
  <si>
    <t>3.5.1</t>
  </si>
  <si>
    <t>3.5.2</t>
  </si>
  <si>
    <t>3.5.3</t>
  </si>
  <si>
    <t>Helyi önkormányzatok kiegészítő támogatása</t>
  </si>
  <si>
    <t>ebből: Vicai Kat.Egyház</t>
  </si>
  <si>
    <t>Tűzoltóegyesület</t>
  </si>
  <si>
    <t>Vicai Ifjúsági Egyesület</t>
  </si>
  <si>
    <t>Magyar Máltai Szeretetszolgálat</t>
  </si>
  <si>
    <t>Delta Testépítő Klub</t>
  </si>
  <si>
    <t>Tégy a Tehetségért Alapítvány</t>
  </si>
  <si>
    <t>Beledi Ifjúsági Egyesület</t>
  </si>
  <si>
    <t>Beledi Evangélikus Egyház</t>
  </si>
  <si>
    <t>Beled Jövőjéért Egyesület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</si>
  <si>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</si>
  <si>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</si>
  <si>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</si>
  <si>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</si>
  <si>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</si>
  <si>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Közutak üzemeltetése, fenntartása</t>
  </si>
  <si>
    <t>Egyéb szárazföldi személyszállítás</t>
  </si>
  <si>
    <t>Közvilágítási feladatok</t>
  </si>
  <si>
    <t>Város- és községgazdálkodás</t>
  </si>
  <si>
    <t>Katasztrófavédelmi tevékenység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</si>
  <si>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</si>
  <si>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</si>
  <si>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</si>
  <si>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</si>
  <si>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</si>
  <si>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</si>
  <si>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</si>
  <si>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</si>
  <si>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</si>
  <si>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</si>
  <si>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</si>
  <si>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</si>
  <si>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</si>
  <si>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</si>
  <si>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</si>
  <si>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</si>
  <si>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</si>
  <si>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</si>
  <si>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</si>
  <si>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</si>
  <si>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</si>
  <si>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</si>
  <si>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</si>
  <si>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</si>
  <si>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Zöldterület kezelése</t>
  </si>
  <si>
    <t>teljesítés</t>
  </si>
  <si>
    <t>10.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</si>
  <si>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</si>
  <si>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</si>
  <si>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</si>
  <si>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</si>
  <si>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</si>
  <si>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</si>
  <si>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</si>
  <si>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</si>
  <si>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</si>
  <si>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</si>
  <si>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</si>
  <si>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</si>
  <si>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</si>
  <si>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</si>
  <si>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</si>
  <si>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</si>
  <si>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</si>
  <si>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</si>
  <si>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</si>
  <si>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</si>
  <si>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</si>
  <si>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</si>
  <si>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</si>
  <si>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</si>
  <si>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</si>
  <si>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</si>
  <si>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</si>
  <si>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</si>
  <si>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</si>
  <si>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</si>
  <si>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>2014. december 31.</t>
  </si>
  <si>
    <t>évközbeni változás</t>
  </si>
  <si>
    <t>ÁH belüli megelőlegezések visszafizetései</t>
  </si>
  <si>
    <t>6.3</t>
  </si>
  <si>
    <t>I.6. előző évről áthúzódó bérkompenzáció</t>
  </si>
  <si>
    <t>Könyvtári célú érdekeltségnövelő támogatás</t>
  </si>
  <si>
    <t>Beled Ált.Isk.Diákönk.</t>
  </si>
  <si>
    <t>egyéb</t>
  </si>
  <si>
    <t>Lövészklub (MTTSZ)</t>
  </si>
  <si>
    <t>telj. %</t>
  </si>
  <si>
    <t>2015. június 30.</t>
  </si>
  <si>
    <t>2015. június 30. teljesítés</t>
  </si>
  <si>
    <t>Nyári gyermekétkeztetés (3.m.I.3.)</t>
  </si>
  <si>
    <t>Könyvtári érdekeltségnövelő támogatás (IV. 1.i.)</t>
  </si>
  <si>
    <t>mód. IV.</t>
  </si>
  <si>
    <t>Gyermekvédelmi Erzsébet utalvány</t>
  </si>
  <si>
    <t>Szociális ágazati pótlék kiegészítő támogatás</t>
  </si>
  <si>
    <t>mód. V,</t>
  </si>
  <si>
    <t>2015. december 31.</t>
  </si>
  <si>
    <t>mód. V.</t>
  </si>
  <si>
    <t>Nagycenk Nagyközség Önkormányzata</t>
  </si>
  <si>
    <t>Egészséges Óvodás Gyermekekért Alapítvány</t>
  </si>
  <si>
    <t>Államháztartáson belüli megelőlegezések</t>
  </si>
  <si>
    <t xml:space="preserve">Forintban </t>
  </si>
  <si>
    <t>Irányítószervi (önkormányzati) támogatás</t>
  </si>
  <si>
    <t>Ft-ban</t>
  </si>
  <si>
    <t>2016. évi belső forrásból fedezhető működési hiány</t>
  </si>
  <si>
    <t xml:space="preserve">2016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</si>
  <si>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</si>
  <si>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</si>
  <si>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 évi külső forrásból fedezhető felhalmozási hiány </t>
  </si>
  <si>
    <t>2016. évi külső forrásból fedezhető összes hiány (1.+2.)</t>
  </si>
  <si>
    <t>Szociális tűzifa (2015. évről áthúzódó)</t>
  </si>
  <si>
    <t>Forintban</t>
  </si>
  <si>
    <t>3 a.) Család- és gyermekjóléti szolgálat</t>
  </si>
  <si>
    <t>3 c.) Szociális étkeztetés</t>
  </si>
  <si>
    <t>3 f.) Időskorúak nappali intézményi ellátása</t>
  </si>
  <si>
    <t xml:space="preserve">III. 5. c. A rászoruló gyermekek intézményen kívüli szünidei étkeztetésének támogatása 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</si>
  <si>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</si>
  <si>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</si>
  <si>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</si>
  <si>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</si>
  <si>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</si>
  <si>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2016. március 23.</t>
  </si>
  <si>
    <t>Forgatási  célú belföldi értékpapírok vásárlása</t>
  </si>
  <si>
    <t>Forgatási célú értékpapírok vásárlása</t>
  </si>
  <si>
    <t>2016. június 30.</t>
  </si>
  <si>
    <t>Felhalmozási célú egyéb átvett pénzeszközök államháztartáson kívűlről</t>
  </si>
  <si>
    <t>2. Felhalmozási célú egyéb átvett pénzeszközök államháztartáson kívűlről</t>
  </si>
  <si>
    <t>fénymásoló/nyomtató beszerzése</t>
  </si>
  <si>
    <t>Bérkompenzáció (Működési célú költségvetési támogatások és kiegészítő támogatások)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</si>
  <si>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</si>
  <si>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</si>
  <si>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</si>
  <si>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</si>
  <si>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</si>
  <si>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</si>
  <si>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</si>
  <si>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</si>
  <si>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</si>
  <si>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</si>
  <si>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</si>
  <si>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</si>
  <si>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</si>
  <si>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</si>
  <si>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>2016. szeptember 30.</t>
  </si>
  <si>
    <t xml:space="preserve">Finanszírozási műveletek </t>
  </si>
  <si>
    <t>adatok Ft-ban</t>
  </si>
  <si>
    <t>Működési célú költségvetési támogatások és kiegészítő támogatások</t>
  </si>
  <si>
    <t>Működési célú támogatások államháztartáson belülről</t>
  </si>
  <si>
    <t xml:space="preserve">Véglegesen és átmeneti jelleggel átadott pénzeszközök </t>
  </si>
  <si>
    <t>Véglegesen átadott pénzeszközök</t>
  </si>
  <si>
    <t>Közvetített szolgáltatok ellenértéke</t>
  </si>
  <si>
    <t>kisértékű tárgyi eszközök beszerzése</t>
  </si>
  <si>
    <t>Vadászati jog bérbeadéséból származó jövedelem</t>
  </si>
  <si>
    <t>Szociális tűzifa (2016)</t>
  </si>
  <si>
    <t>Orvosi ügyelet - Kapuvár Városi Önkormányzat</t>
  </si>
  <si>
    <t>Orvosi ügyelet - Többcélú Társulás Kapuvár</t>
  </si>
  <si>
    <t>Beledi Katolikus Egyház</t>
  </si>
  <si>
    <t>Régi Beledi Baráti Kör</t>
  </si>
  <si>
    <t>Beledi Általános Iskola Diákjaiért Közalapítvány</t>
  </si>
  <si>
    <t>Civil szervezetek támogatása (képviselői felajánlásból)</t>
  </si>
  <si>
    <t>Egyházak támogatása (képviselői felajánlásból)</t>
  </si>
  <si>
    <t>Szociális tüzelőanyag támogatás (Kvtv. 1. melléklet IX. 18.)</t>
  </si>
  <si>
    <t>Rendkívüli önkormányzati támogatás (Kvtv. 3. melléklet III. a) pont)</t>
  </si>
  <si>
    <t>2016. december 31.</t>
  </si>
  <si>
    <t xml:space="preserve">2017. év </t>
  </si>
  <si>
    <t>2017. év</t>
  </si>
  <si>
    <t>Önkormányzat 2017. évi kiadási előirányzatai</t>
  </si>
  <si>
    <t>Iparűzési adó - állandó jellegggel végzett</t>
  </si>
  <si>
    <t>Önkormányzat költségvetési szerveinek 2017. évi létszámkerete</t>
  </si>
  <si>
    <t>2017. január 1.</t>
  </si>
  <si>
    <t>Szegélynyíró beszerzése</t>
  </si>
  <si>
    <t>Településrendezési terv elkészítése</t>
  </si>
  <si>
    <t>útfelújítás - Bartók utca</t>
  </si>
  <si>
    <t>járdafelújítás</t>
  </si>
  <si>
    <t>ravatalozó felújítása - előtető</t>
  </si>
  <si>
    <t>óvoda épület felújítása</t>
  </si>
  <si>
    <t>óvoda épület felújítása - műszaki tervezés</t>
  </si>
  <si>
    <t>kastély kerítés felújítása</t>
  </si>
  <si>
    <t>alsó iskola kerítés felújítása</t>
  </si>
  <si>
    <t>Települési hulladékgazdálkodási feladatok</t>
  </si>
  <si>
    <t>Szociális és gyermekjóléti ellátások</t>
  </si>
  <si>
    <t>Települési támogatás - gyógszertámogatás (Szt. 45. § (1) bek.)</t>
  </si>
  <si>
    <t>Települési támogatás - temetési támogatás (Szt. 45. § (1) bek.)</t>
  </si>
  <si>
    <t>Rendkívüli települési támogatás (Szt. 45. § (4)-(5) bek.)</t>
  </si>
  <si>
    <t>Köztemetés (Szt. 48. §)</t>
  </si>
  <si>
    <t>Bursa Hungarica Felsőoktaqtási Önkormányzati Ösztöndíj</t>
  </si>
  <si>
    <t>Szünidei gyermekétkeztetés (Gyvt. 21/C. §)</t>
  </si>
  <si>
    <t>Beled Sportegyesület Labdarúgó Szakosztály</t>
  </si>
  <si>
    <t>Beled Sportegyesület Kézilabda Szakosztály</t>
  </si>
  <si>
    <t>Beled Sportegyesület "rezsitámogatás"</t>
  </si>
  <si>
    <t>Rendőrörs - Rábakecöl Községi Önkormányzat</t>
  </si>
  <si>
    <t>Kapuvár-Beledi Többcélú Kistérségi Társulás</t>
  </si>
  <si>
    <t>Fogorvosi ügyelet Sopron Megyei Jogú Város Önkormányzata</t>
  </si>
  <si>
    <t>Tárgyi eszközök értékesítése</t>
  </si>
  <si>
    <t>3 da.) Házi segítégnyújtás - szociális segítés</t>
  </si>
  <si>
    <t>3 db.) Házi segítégnyújtás - személyi gondozás</t>
  </si>
  <si>
    <t>3 jb.) Családi bölcsőde</t>
  </si>
  <si>
    <t>III. m. Pszichiátriai betegek részére nyújtott közösségi alapellátás - alaptámogatás</t>
  </si>
  <si>
    <t>III. m.Pszichiátriai betegek részére nyújtott közösségi alapellátás - teljesíménytámogatás</t>
  </si>
  <si>
    <t>III. m.Pszichiátriai betegek részére nyújtott közösségi alapellátás</t>
  </si>
  <si>
    <t>Forgatási célú értékpapírból származó bevétel</t>
  </si>
  <si>
    <t>Önkormányzat 2017. évi bevételi előirányzatai</t>
  </si>
  <si>
    <t>Önkormányzat összevont 2017. évi bevételi előirányzatai</t>
  </si>
  <si>
    <t>Előirányzat-felhasználási terv
2017. évre</t>
  </si>
  <si>
    <t>2017. évi előirányzat</t>
  </si>
  <si>
    <t xml:space="preserve">BERUHÁZÁSOK (ÁFA-val) </t>
  </si>
  <si>
    <t>mikrohullámú sütő beszerzése művelődési házba</t>
  </si>
  <si>
    <t>Vicai Katolikus Egyházközség</t>
  </si>
  <si>
    <t>Beledi Katolikus Egyházközség</t>
  </si>
  <si>
    <t>Beledi Evangélikus Egyházközség</t>
  </si>
  <si>
    <t>III.1. Szociális ágazati összevont pótlék</t>
  </si>
  <si>
    <t>Beled Sportegyesület műfüves pálya műszaki ellenőrzése</t>
  </si>
  <si>
    <t>5 db ülőpad vásárlása</t>
  </si>
  <si>
    <t>Karácsonyi díszkivilágítás</t>
  </si>
  <si>
    <t xml:space="preserve">Utcanév táblák készítése (52 db) </t>
  </si>
  <si>
    <t>Utcanév táblatartók besterzése (25 db)</t>
  </si>
  <si>
    <t>2 db szívhangmérő beszerzése védőnői szolgálat részére</t>
  </si>
  <si>
    <t>Kisfaludi Vadaspark Egyesület és Baráti Kör</t>
  </si>
  <si>
    <t>Foki Nikolett Gyógyulásáért Alapítvány</t>
  </si>
  <si>
    <t>Szalonnasütő beszerzése képviselői felajánlásból</t>
  </si>
  <si>
    <t>Önkormányzati vagyongazdálkodással kapcsolatos feladatok</t>
  </si>
  <si>
    <t>telefon beszerzése élelmezésvezetőnek</t>
  </si>
  <si>
    <t>Kulturális ágazati pótlék (8/2017. (I. 23.) Korm.rendelet)</t>
  </si>
  <si>
    <t>KÖFOP-1.2.1-VEKOP-16-2017-00870 Beled Város Önkormányzata ASP központhoz való csatlakozása - eszközbeszerzések</t>
  </si>
  <si>
    <t>TOP-3.1.1-15-GM1-2016-00013 Közlekedésfejlesztés Beled városában - kerékpárút kialakítása</t>
  </si>
  <si>
    <t xml:space="preserve">TOP-1.1.3-15.GM1-2016-00008 "Helyi termelői piac kialakítása Beleden" </t>
  </si>
  <si>
    <t>alsó iskolánál murvás parkoló kialakítása</t>
  </si>
  <si>
    <t>TOP-3.2.1-15-GM1-2016-00033 Beled Város középületeinek energetikai korszerűsítése (hivatal és konyha épülete)</t>
  </si>
  <si>
    <t>Településfejlesztési projektek és támogatásuk</t>
  </si>
  <si>
    <t>Informatikai fejlesztések, szolgáltatások</t>
  </si>
  <si>
    <t>1312/2017. (VI. 8.) Korm. Határozat szerint a 2017. évi minimálbér és garantált bérminimum emelése, valamint a szociális hozzájárulási adó csökkentése hatásának kompenzálására kpott támogatás</t>
  </si>
  <si>
    <t>Biztosítás kárfizetés</t>
  </si>
  <si>
    <t>2.8</t>
  </si>
  <si>
    <t>2 db "Sportpálya" feliratú tábla</t>
  </si>
  <si>
    <t>Utcanév tábla hátlapok beszerzése</t>
  </si>
  <si>
    <t>Ivókút vásárlása</t>
  </si>
  <si>
    <t>Művelődési ház nyílászárók cseréje</t>
  </si>
  <si>
    <t>Természetbeni támogatás Gyvt. 20/a §. (Erzsébet utalvány)</t>
  </si>
  <si>
    <t>Beledi Szociális és Gyermekjóléti Társulás 2017. évi hozzájárulás</t>
  </si>
  <si>
    <t>Beledi Szociális és Gyermekjóléti Társulás 2016. évi hozzájárulás elszámolás</t>
  </si>
  <si>
    <t>Magyar Technikai és Tömegsport Szövetség Beledi Klubja</t>
  </si>
  <si>
    <t>információs tábla könyvtárba</t>
  </si>
  <si>
    <t>2 db táblagép vásárlása óvodába</t>
  </si>
  <si>
    <t>porszívó vásárlása óvodába</t>
  </si>
  <si>
    <t>irodai székek beszerzése</t>
  </si>
  <si>
    <t>fényképezőgép beszerzése</t>
  </si>
  <si>
    <t>Orvosi rendelő nyílászáró cseréje</t>
  </si>
  <si>
    <t>Számítógép beszerzése pályázati önerő</t>
  </si>
  <si>
    <t>Beled Város teljes digitális állami ingatlan-nyilvántartási térképi adatbázis</t>
  </si>
  <si>
    <t>Damilos fűnyíró beszerzése</t>
  </si>
  <si>
    <t>Légkondícionáló berendezés gyógyszertárba (térítésmentes átadás)</t>
  </si>
  <si>
    <t>Parkolófelújítás</t>
  </si>
  <si>
    <t>2017. december 31.</t>
  </si>
  <si>
    <t>Emberi Erőforrás Támogatáskezelő</t>
  </si>
  <si>
    <t>Országos Mentőszolgálat Alapítvány</t>
  </si>
  <si>
    <t>"Elre" Horgász Egyesület</t>
  </si>
  <si>
    <t>"Elre" Horgász Egyesület 2016. évről áthúzódó</t>
  </si>
  <si>
    <t>Fidesz-Magyar Polgári Szövetség</t>
  </si>
  <si>
    <t>Beled Város Önkéntes Tűzolt Egyesülete</t>
  </si>
  <si>
    <t>Beledi Asztalitenisz és Tenisz Klub</t>
  </si>
  <si>
    <t xml:space="preserve">Beledi Sportegyesület </t>
  </si>
  <si>
    <t>Beledi Általános Iskola Diákönkormányzata</t>
  </si>
  <si>
    <t>Tetelepülési Önkormányzatok Országos Szövetsége tagíj</t>
  </si>
  <si>
    <t>Települési önkormányzatok szociális célú tüzelőanyag vásárlásának támogatása</t>
  </si>
  <si>
    <t>Közművelődési érdekeltségnövelő támogatás (felhalmozási)</t>
  </si>
  <si>
    <t>A 2017. évi általános működési és ágazati feladatok támogatásának alakulása jogcímenként</t>
  </si>
  <si>
    <t>Közúti személyszállítás (kerékpárút)</t>
  </si>
  <si>
    <t>Piac üzemeltetése</t>
  </si>
  <si>
    <t>Lakásfenntartással, lakhatással összefüggő ellátások (szociális tűzifa)</t>
  </si>
  <si>
    <t>Államháztartáson belüli megelőlegezés</t>
  </si>
  <si>
    <t xml:space="preserve">11. számú melléklet </t>
  </si>
  <si>
    <t xml:space="preserve">12. számú melléklet </t>
  </si>
  <si>
    <t>13. számú melléklet</t>
  </si>
  <si>
    <t>10. számú melléklet</t>
  </si>
  <si>
    <t xml:space="preserve">9. számú melléklet  </t>
  </si>
  <si>
    <t xml:space="preserve">8. számú melléklet </t>
  </si>
  <si>
    <t xml:space="preserve">7/b. számú melléklet </t>
  </si>
  <si>
    <t xml:space="preserve">5.2 számú melléklet </t>
  </si>
  <si>
    <t xml:space="preserve">5.1 számú melléklet </t>
  </si>
  <si>
    <t xml:space="preserve">4. számú melléklet </t>
  </si>
  <si>
    <t xml:space="preserve">3. számú melléklet </t>
  </si>
  <si>
    <t xml:space="preserve">2. számú melléklet </t>
  </si>
  <si>
    <t xml:space="preserve">1. számú melléklet 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</si>
</sst>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  <numFmt numFmtId="175" formatCode="[$€-2]\ #\ ##,000_);[Red]\([$€-2]\ #\ ##,000\)"/>
  </numFmts>
  <fonts count="134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i/>
      <sz val="12"/>
      <name val="Times New Roman CE"/>
      <family val="0"/>
    </font>
    <font>
      <i/>
      <sz val="11"/>
      <color indexed="8"/>
      <name val="Calibri"/>
      <family val="2"/>
    </font>
    <font>
      <i/>
      <sz val="10"/>
      <name val="Arial CE"/>
      <family val="0"/>
    </font>
    <font>
      <i/>
      <sz val="10"/>
      <name val="Arial"/>
      <family val="2"/>
    </font>
    <font>
      <i/>
      <sz val="11"/>
      <name val="MS Sans Serif"/>
      <family val="2"/>
    </font>
    <font>
      <i/>
      <sz val="12"/>
      <name val="MS Sans Serif"/>
      <family val="2"/>
    </font>
    <font>
      <i/>
      <sz val="12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2"/>
      <color indexed="10"/>
      <name val="Arial CE"/>
      <family val="2"/>
    </font>
    <font>
      <sz val="10"/>
      <color indexed="10"/>
      <name val="Times New Roman"/>
      <family val="1"/>
    </font>
    <font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MS Sans Serif"/>
      <family val="2"/>
    </font>
    <font>
      <sz val="10"/>
      <color rgb="FFFF0000"/>
      <name val="MS Sans Serif"/>
      <family val="2"/>
    </font>
    <font>
      <b/>
      <sz val="12"/>
      <color rgb="FFFF0000"/>
      <name val="Arial CE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12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3" fillId="20" borderId="1" applyNumberFormat="0" applyAlignment="0" applyProtection="0"/>
    <xf numFmtId="0" fontId="114" fillId="0" borderId="0" applyNumberFormat="0" applyFill="0" applyBorder="0" applyAlignment="0" applyProtection="0"/>
    <xf numFmtId="0" fontId="115" fillId="0" borderId="2" applyNumberFormat="0" applyFill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7" fillId="0" borderId="0" applyNumberFormat="0" applyFill="0" applyBorder="0" applyAlignment="0" applyProtection="0"/>
    <xf numFmtId="0" fontId="11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0" fillId="0" borderId="6" applyNumberFormat="0" applyFill="0" applyAlignment="0" applyProtection="0"/>
    <xf numFmtId="0" fontId="0" fillId="22" borderId="7" applyNumberFormat="0" applyFont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2" fillId="26" borderId="0" applyNumberFormat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21" fillId="29" borderId="0" applyNumberFormat="0" applyBorder="0" applyAlignment="0" applyProtection="0"/>
    <xf numFmtId="0" fontId="122" fillId="30" borderId="8" applyNumberFormat="0" applyAlignment="0" applyProtection="0"/>
    <xf numFmtId="0" fontId="6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31" borderId="0" applyNumberFormat="0" applyBorder="0" applyAlignment="0" applyProtection="0"/>
    <xf numFmtId="0" fontId="126" fillId="32" borderId="0" applyNumberFormat="0" applyBorder="0" applyAlignment="0" applyProtection="0"/>
    <xf numFmtId="0" fontId="127" fillId="30" borderId="1" applyNumberFormat="0" applyAlignment="0" applyProtection="0"/>
    <xf numFmtId="9" fontId="0" fillId="0" borderId="0" applyFont="0" applyFill="0" applyBorder="0" applyAlignment="0" applyProtection="0"/>
  </cellStyleXfs>
  <cellXfs count="13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33" fillId="0" borderId="0" xfId="59" applyFont="1" applyAlignment="1">
      <alignment horizontal="center" vertical="center"/>
      <protection/>
    </xf>
    <xf numFmtId="0" fontId="26" fillId="0" borderId="12" xfId="59" applyFont="1" applyBorder="1" applyAlignment="1">
      <alignment horizontal="left" vertical="center" wrapText="1"/>
      <protection/>
    </xf>
    <xf numFmtId="0" fontId="36" fillId="0" borderId="13" xfId="59" applyFont="1" applyBorder="1" applyAlignment="1">
      <alignment horizontal="center" vertical="center" wrapText="1"/>
      <protection/>
    </xf>
    <xf numFmtId="0" fontId="36" fillId="0" borderId="14" xfId="59" applyFont="1" applyBorder="1" applyAlignment="1">
      <alignment horizontal="center" vertical="center" wrapText="1"/>
      <protection/>
    </xf>
    <xf numFmtId="0" fontId="0" fillId="0" borderId="15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6" fillId="1" borderId="16" xfId="58" applyFont="1" applyFill="1" applyBorder="1" applyAlignment="1">
      <alignment horizontal="center" vertical="center" wrapText="1"/>
      <protection/>
    </xf>
    <xf numFmtId="0" fontId="0" fillId="0" borderId="17" xfId="58" applyFont="1" applyFill="1" applyBorder="1" applyAlignment="1">
      <alignment horizontal="left" vertical="center" wrapText="1"/>
      <protection/>
    </xf>
    <xf numFmtId="0" fontId="6" fillId="0" borderId="16" xfId="58" applyFont="1" applyBorder="1" applyAlignment="1">
      <alignment vertical="center" wrapText="1"/>
      <protection/>
    </xf>
    <xf numFmtId="0" fontId="13" fillId="0" borderId="0" xfId="58" applyFont="1" applyAlignment="1">
      <alignment vertical="center"/>
      <protection/>
    </xf>
    <xf numFmtId="0" fontId="0" fillId="0" borderId="18" xfId="58" applyFont="1" applyBorder="1" applyAlignment="1">
      <alignment horizontal="center" vertical="center"/>
      <protection/>
    </xf>
    <xf numFmtId="0" fontId="2" fillId="0" borderId="19" xfId="58" applyFont="1" applyFill="1" applyBorder="1" applyAlignment="1">
      <alignment vertical="center" wrapText="1"/>
      <protection/>
    </xf>
    <xf numFmtId="0" fontId="0" fillId="0" borderId="20" xfId="58" applyFont="1" applyBorder="1" applyAlignment="1">
      <alignment horizontal="center" vertical="center"/>
      <protection/>
    </xf>
    <xf numFmtId="0" fontId="19" fillId="0" borderId="0" xfId="59" applyFont="1" applyAlignment="1">
      <alignment horizontal="left" vertical="center" wrapText="1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19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12" xfId="58" applyFont="1" applyBorder="1" applyAlignment="1">
      <alignment wrapText="1"/>
      <protection/>
    </xf>
    <xf numFmtId="0" fontId="15" fillId="0" borderId="12" xfId="58" applyFont="1" applyFill="1" applyBorder="1" applyAlignment="1">
      <alignment wrapText="1"/>
      <protection/>
    </xf>
    <xf numFmtId="0" fontId="12" fillId="0" borderId="21" xfId="58" applyFont="1" applyBorder="1" applyAlignment="1">
      <alignment vertical="center" wrapText="1"/>
      <protection/>
    </xf>
    <xf numFmtId="0" fontId="12" fillId="0" borderId="21" xfId="58" applyFont="1" applyBorder="1" applyAlignment="1">
      <alignment wrapText="1"/>
      <protection/>
    </xf>
    <xf numFmtId="3" fontId="41" fillId="0" borderId="22" xfId="58" applyNumberFormat="1" applyFont="1" applyFill="1" applyBorder="1" applyAlignment="1">
      <alignment horizontal="right"/>
      <protection/>
    </xf>
    <xf numFmtId="0" fontId="41" fillId="0" borderId="22" xfId="58" applyFont="1" applyBorder="1" applyAlignment="1">
      <alignment horizontal="right"/>
      <protection/>
    </xf>
    <xf numFmtId="3" fontId="41" fillId="0" borderId="23" xfId="58" applyNumberFormat="1" applyFont="1" applyBorder="1" applyAlignment="1">
      <alignment horizontal="right"/>
      <protection/>
    </xf>
    <xf numFmtId="3" fontId="41" fillId="0" borderId="22" xfId="58" applyNumberFormat="1" applyFont="1" applyBorder="1" applyAlignment="1">
      <alignment horizontal="right"/>
      <protection/>
    </xf>
    <xf numFmtId="3" fontId="18" fillId="0" borderId="13" xfId="40" applyNumberFormat="1" applyFont="1" applyBorder="1" applyAlignment="1">
      <alignment horizontal="right" vertical="center"/>
    </xf>
    <xf numFmtId="3" fontId="18" fillId="0" borderId="13" xfId="58" applyNumberFormat="1" applyFont="1" applyBorder="1" applyAlignment="1">
      <alignment horizontal="right"/>
      <protection/>
    </xf>
    <xf numFmtId="0" fontId="11" fillId="0" borderId="24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2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2" fillId="0" borderId="0" xfId="58" applyFont="1" applyAlignment="1">
      <alignment horizontal="center" vertical="center"/>
      <protection/>
    </xf>
    <xf numFmtId="3" fontId="15" fillId="0" borderId="22" xfId="58" applyNumberFormat="1" applyFont="1" applyFill="1" applyBorder="1" applyAlignment="1">
      <alignment horizontal="right" vertical="center"/>
      <protection/>
    </xf>
    <xf numFmtId="3" fontId="3" fillId="0" borderId="1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1" fillId="0" borderId="23" xfId="58" applyNumberFormat="1" applyFont="1" applyFill="1" applyBorder="1" applyAlignment="1">
      <alignment horizontal="right"/>
      <protection/>
    </xf>
    <xf numFmtId="3" fontId="41" fillId="0" borderId="25" xfId="58" applyNumberFormat="1" applyFont="1" applyBorder="1" applyAlignment="1">
      <alignment horizontal="right"/>
      <protection/>
    </xf>
    <xf numFmtId="0" fontId="15" fillId="0" borderId="26" xfId="58" applyFont="1" applyBorder="1" applyAlignment="1">
      <alignment wrapText="1"/>
      <protection/>
    </xf>
    <xf numFmtId="0" fontId="14" fillId="0" borderId="22" xfId="0" applyFont="1" applyFill="1" applyBorder="1" applyAlignment="1">
      <alignment vertical="center" wrapText="1"/>
    </xf>
    <xf numFmtId="0" fontId="32" fillId="0" borderId="22" xfId="0" applyFont="1" applyFill="1" applyBorder="1" applyAlignment="1">
      <alignment vertical="center"/>
    </xf>
    <xf numFmtId="0" fontId="32" fillId="0" borderId="22" xfId="58" applyFont="1" applyFill="1" applyBorder="1" applyAlignment="1">
      <alignment vertical="center"/>
      <protection/>
    </xf>
    <xf numFmtId="0" fontId="32" fillId="0" borderId="27" xfId="58" applyFont="1" applyFill="1" applyBorder="1" applyAlignment="1">
      <alignment vertical="center"/>
      <protection/>
    </xf>
    <xf numFmtId="0" fontId="14" fillId="0" borderId="17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20" xfId="0" applyNumberFormat="1" applyFont="1" applyBorder="1" applyAlignment="1">
      <alignment horizontal="left" vertical="center"/>
    </xf>
    <xf numFmtId="49" fontId="47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8" fillId="0" borderId="0" xfId="0" applyFont="1" applyAlignment="1">
      <alignment wrapText="1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30" xfId="0" applyNumberFormat="1" applyFont="1" applyFill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left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49" fontId="7" fillId="0" borderId="3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left"/>
    </xf>
    <xf numFmtId="49" fontId="7" fillId="0" borderId="33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3" fontId="3" fillId="0" borderId="16" xfId="0" applyNumberFormat="1" applyFont="1" applyFill="1" applyBorder="1" applyAlignment="1">
      <alignment horizontal="right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0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2" xfId="0" applyNumberFormat="1" applyFont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3" fontId="7" fillId="0" borderId="25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8" fillId="0" borderId="35" xfId="59" applyFont="1" applyBorder="1" applyAlignment="1">
      <alignment horizontal="left" vertical="center" wrapText="1"/>
      <protection/>
    </xf>
    <xf numFmtId="0" fontId="26" fillId="0" borderId="36" xfId="0" applyFont="1" applyBorder="1" applyAlignment="1">
      <alignment vertical="center" wrapText="1"/>
    </xf>
    <xf numFmtId="2" fontId="37" fillId="0" borderId="22" xfId="59" applyNumberFormat="1" applyFont="1" applyFill="1" applyBorder="1" applyAlignment="1">
      <alignment horizontal="center" vertical="center" wrapText="1"/>
      <protection/>
    </xf>
    <xf numFmtId="2" fontId="37" fillId="0" borderId="19" xfId="59" applyNumberFormat="1" applyFont="1" applyFill="1" applyBorder="1" applyAlignment="1">
      <alignment horizontal="center" vertical="center" wrapText="1"/>
      <protection/>
    </xf>
    <xf numFmtId="2" fontId="37" fillId="0" borderId="13" xfId="59" applyNumberFormat="1" applyFont="1" applyFill="1" applyBorder="1" applyAlignment="1">
      <alignment horizontal="center" vertical="center" wrapText="1"/>
      <protection/>
    </xf>
    <xf numFmtId="167" fontId="30" fillId="0" borderId="0" xfId="0" applyNumberFormat="1" applyFont="1" applyFill="1" applyAlignment="1" applyProtection="1">
      <alignment horizontal="left" vertical="center" wrapText="1"/>
      <protection/>
    </xf>
    <xf numFmtId="167" fontId="30" fillId="0" borderId="0" xfId="0" applyNumberFormat="1" applyFont="1" applyFill="1" applyAlignment="1" applyProtection="1">
      <alignment vertical="center" wrapText="1"/>
      <protection/>
    </xf>
    <xf numFmtId="167" fontId="49" fillId="0" borderId="0" xfId="0" applyNumberFormat="1" applyFont="1" applyFill="1" applyAlignment="1" applyProtection="1">
      <alignment vertical="center" wrapText="1"/>
      <protection locked="0"/>
    </xf>
    <xf numFmtId="0" fontId="50" fillId="0" borderId="0" xfId="0" applyFont="1" applyAlignment="1" applyProtection="1">
      <alignment horizontal="right" vertical="top"/>
      <protection locked="0"/>
    </xf>
    <xf numFmtId="167" fontId="30" fillId="0" borderId="0" xfId="0" applyNumberFormat="1" applyFont="1" applyFill="1" applyAlignment="1">
      <alignment vertical="center" wrapText="1"/>
    </xf>
    <xf numFmtId="0" fontId="51" fillId="0" borderId="0" xfId="0" applyFont="1" applyAlignment="1" applyProtection="1">
      <alignment horizontal="right" vertical="top"/>
      <protection locked="0"/>
    </xf>
    <xf numFmtId="167" fontId="52" fillId="0" borderId="0" xfId="0" applyNumberFormat="1" applyFont="1" applyFill="1" applyAlignment="1" applyProtection="1">
      <alignment vertical="center" wrapText="1"/>
      <protection locked="0"/>
    </xf>
    <xf numFmtId="0" fontId="46" fillId="0" borderId="0" xfId="0" applyFont="1" applyFill="1" applyAlignment="1">
      <alignment vertical="center"/>
    </xf>
    <xf numFmtId="0" fontId="49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horizontal="right"/>
      <protection/>
    </xf>
    <xf numFmtId="0" fontId="28" fillId="0" borderId="0" xfId="0" applyFont="1" applyFill="1" applyAlignment="1">
      <alignment vertical="center"/>
    </xf>
    <xf numFmtId="0" fontId="49" fillId="0" borderId="3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3" fillId="0" borderId="38" xfId="0" applyFont="1" applyFill="1" applyBorder="1" applyAlignment="1" applyProtection="1">
      <alignment horizontal="center" vertical="center" wrapText="1"/>
      <protection/>
    </xf>
    <xf numFmtId="0" fontId="53" fillId="0" borderId="16" xfId="0" applyFont="1" applyFill="1" applyBorder="1" applyAlignment="1" applyProtection="1">
      <alignment horizontal="center" vertical="center" wrapText="1"/>
      <protection/>
    </xf>
    <xf numFmtId="0" fontId="53" fillId="0" borderId="39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49" fillId="0" borderId="32" xfId="0" applyFont="1" applyFill="1" applyBorder="1" applyAlignment="1" applyProtection="1">
      <alignment horizontal="center" vertical="center" wrapText="1"/>
      <protection/>
    </xf>
    <xf numFmtId="0" fontId="49" fillId="0" borderId="33" xfId="0" applyFont="1" applyFill="1" applyBorder="1" applyAlignment="1" applyProtection="1">
      <alignment horizontal="center" vertical="center" wrapText="1"/>
      <protection/>
    </xf>
    <xf numFmtId="0" fontId="44" fillId="0" borderId="16" xfId="0" applyFont="1" applyFill="1" applyBorder="1" applyAlignment="1" applyProtection="1">
      <alignment horizontal="center" vertical="center" wrapText="1"/>
      <protection/>
    </xf>
    <xf numFmtId="0" fontId="53" fillId="0" borderId="16" xfId="0" applyFont="1" applyFill="1" applyBorder="1" applyAlignment="1" applyProtection="1">
      <alignment horizontal="left" vertical="center" wrapText="1" indent="1"/>
      <protection/>
    </xf>
    <xf numFmtId="167" fontId="53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43" fillId="0" borderId="0" xfId="0" applyFont="1" applyFill="1" applyAlignment="1">
      <alignment vertical="center" wrapText="1"/>
    </xf>
    <xf numFmtId="0" fontId="53" fillId="0" borderId="15" xfId="0" applyFont="1" applyFill="1" applyBorder="1" applyAlignment="1" applyProtection="1">
      <alignment horizontal="center" vertical="center" wrapText="1"/>
      <protection/>
    </xf>
    <xf numFmtId="49" fontId="45" fillId="0" borderId="22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 applyProtection="1">
      <alignment horizontal="center" vertical="center" wrapText="1"/>
      <protection/>
    </xf>
    <xf numFmtId="0" fontId="45" fillId="0" borderId="22" xfId="61" applyFont="1" applyFill="1" applyBorder="1" applyAlignment="1" applyProtection="1">
      <alignment horizontal="left" vertical="center" wrapText="1" indent="1"/>
      <protection/>
    </xf>
    <xf numFmtId="167" fontId="4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0" fontId="53" fillId="0" borderId="40" xfId="0" applyFont="1" applyFill="1" applyBorder="1" applyAlignment="1" applyProtection="1">
      <alignment horizontal="center" vertical="center" wrapText="1"/>
      <protection/>
    </xf>
    <xf numFmtId="0" fontId="45" fillId="0" borderId="19" xfId="61" applyFont="1" applyFill="1" applyBorder="1" applyAlignment="1" applyProtection="1">
      <alignment horizontal="left" vertical="center" wrapText="1" indent="1"/>
      <protection/>
    </xf>
    <xf numFmtId="0" fontId="53" fillId="0" borderId="38" xfId="0" applyFont="1" applyFill="1" applyBorder="1" applyAlignment="1" applyProtection="1">
      <alignment horizontal="center" vertical="center" wrapText="1"/>
      <protection/>
    </xf>
    <xf numFmtId="0" fontId="53" fillId="0" borderId="16" xfId="61" applyFont="1" applyFill="1" applyBorder="1" applyAlignment="1" applyProtection="1">
      <alignment horizontal="left" vertical="center" wrapText="1" indent="1"/>
      <protection/>
    </xf>
    <xf numFmtId="0" fontId="53" fillId="0" borderId="15" xfId="0" applyFont="1" applyFill="1" applyBorder="1" applyAlignment="1" applyProtection="1">
      <alignment horizontal="center" vertical="center" wrapText="1"/>
      <protection/>
    </xf>
    <xf numFmtId="49" fontId="45" fillId="0" borderId="17" xfId="0" applyNumberFormat="1" applyFont="1" applyFill="1" applyBorder="1" applyAlignment="1" applyProtection="1">
      <alignment horizontal="center" vertical="center" wrapText="1"/>
      <protection/>
    </xf>
    <xf numFmtId="0" fontId="45" fillId="0" borderId="17" xfId="61" applyFont="1" applyFill="1" applyBorder="1" applyAlignment="1" applyProtection="1">
      <alignment horizontal="left" vertical="center" wrapText="1" indent="1"/>
      <protection/>
    </xf>
    <xf numFmtId="167" fontId="4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35" xfId="0" applyFont="1" applyFill="1" applyBorder="1" applyAlignment="1" applyProtection="1">
      <alignment horizontal="center" vertical="center" wrapText="1"/>
      <protection/>
    </xf>
    <xf numFmtId="49" fontId="45" fillId="0" borderId="19" xfId="0" applyNumberFormat="1" applyFont="1" applyFill="1" applyBorder="1" applyAlignment="1" applyProtection="1">
      <alignment horizontal="center" vertical="center" wrapText="1"/>
      <protection/>
    </xf>
    <xf numFmtId="0" fontId="45" fillId="0" borderId="42" xfId="61" applyFont="1" applyFill="1" applyBorder="1" applyAlignment="1" applyProtection="1">
      <alignment horizontal="left" vertical="center" wrapText="1" indent="1"/>
      <protection/>
    </xf>
    <xf numFmtId="167" fontId="4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16" xfId="61" applyNumberFormat="1" applyFont="1" applyFill="1" applyBorder="1" applyAlignment="1" applyProtection="1">
      <alignment horizontal="left" vertical="center" wrapText="1" indent="1"/>
      <protection/>
    </xf>
    <xf numFmtId="0" fontId="54" fillId="0" borderId="44" xfId="0" applyFont="1" applyBorder="1" applyAlignment="1" applyProtection="1">
      <alignment horizontal="center" vertical="center" wrapText="1"/>
      <protection/>
    </xf>
    <xf numFmtId="0" fontId="43" fillId="0" borderId="0" xfId="0" applyFont="1" applyFill="1" applyAlignment="1" applyProtection="1">
      <alignment vertical="center" wrapText="1"/>
      <protection/>
    </xf>
    <xf numFmtId="0" fontId="53" fillId="0" borderId="37" xfId="61" applyFont="1" applyFill="1" applyBorder="1" applyAlignment="1" applyProtection="1">
      <alignment horizontal="left" vertical="center" wrapText="1" indent="1"/>
      <protection/>
    </xf>
    <xf numFmtId="49" fontId="45" fillId="0" borderId="17" xfId="61" applyNumberFormat="1" applyFont="1" applyFill="1" applyBorder="1" applyAlignment="1" applyProtection="1">
      <alignment horizontal="left" vertical="center" wrapText="1" indent="1"/>
      <protection/>
    </xf>
    <xf numFmtId="0" fontId="29" fillId="0" borderId="21" xfId="0" applyFont="1" applyFill="1" applyBorder="1" applyAlignment="1" applyProtection="1">
      <alignment vertical="center" wrapText="1"/>
      <protection/>
    </xf>
    <xf numFmtId="49" fontId="45" fillId="0" borderId="13" xfId="61" applyNumberFormat="1" applyFont="1" applyFill="1" applyBorder="1" applyAlignment="1" applyProtection="1">
      <alignment horizontal="left" vertical="center" wrapText="1" indent="1"/>
      <protection/>
    </xf>
    <xf numFmtId="0" fontId="45" fillId="0" borderId="13" xfId="61" applyFont="1" applyFill="1" applyBorder="1" applyAlignment="1" applyProtection="1">
      <alignment horizontal="left" vertical="center" wrapText="1" indent="1"/>
      <protection/>
    </xf>
    <xf numFmtId="167" fontId="4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38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wrapText="1"/>
      <protection/>
    </xf>
    <xf numFmtId="0" fontId="53" fillId="0" borderId="45" xfId="61" applyFont="1" applyFill="1" applyBorder="1" applyAlignment="1" applyProtection="1">
      <alignment horizontal="left" vertical="center" wrapText="1" indent="1"/>
      <protection/>
    </xf>
    <xf numFmtId="0" fontId="56" fillId="0" borderId="45" xfId="0" applyFont="1" applyBorder="1" applyAlignment="1" applyProtection="1">
      <alignment horizontal="center" wrapText="1"/>
      <protection/>
    </xf>
    <xf numFmtId="0" fontId="57" fillId="0" borderId="45" xfId="0" applyFont="1" applyBorder="1" applyAlignment="1" applyProtection="1">
      <alignment horizontal="left" wrapText="1" indent="1"/>
      <protection/>
    </xf>
    <xf numFmtId="167" fontId="53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left" vertical="center" wrapText="1" indent="1"/>
      <protection/>
    </xf>
    <xf numFmtId="167" fontId="5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8" fillId="0" borderId="0" xfId="0" applyFont="1" applyFill="1" applyAlignment="1">
      <alignment vertical="center" wrapText="1"/>
    </xf>
    <xf numFmtId="0" fontId="45" fillId="0" borderId="0" xfId="0" applyFont="1" applyFill="1" applyAlignment="1" applyProtection="1">
      <alignment horizontal="left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45" fillId="0" borderId="0" xfId="0" applyFont="1" applyFill="1" applyAlignment="1" applyProtection="1">
      <alignment horizontal="right" vertical="center" wrapText="1" indent="1"/>
      <protection/>
    </xf>
    <xf numFmtId="0" fontId="53" fillId="0" borderId="11" xfId="0" applyFont="1" applyFill="1" applyBorder="1" applyAlignment="1" applyProtection="1">
      <alignment horizontal="center" vertical="center" wrapText="1"/>
      <protection/>
    </xf>
    <xf numFmtId="0" fontId="53" fillId="0" borderId="34" xfId="0" applyFont="1" applyFill="1" applyBorder="1" applyAlignment="1" applyProtection="1">
      <alignment horizontal="center" vertical="center" wrapText="1"/>
      <protection/>
    </xf>
    <xf numFmtId="0" fontId="49" fillId="0" borderId="34" xfId="0" applyFont="1" applyFill="1" applyBorder="1" applyAlignment="1" applyProtection="1">
      <alignment horizontal="center" vertical="center" wrapText="1"/>
      <protection/>
    </xf>
    <xf numFmtId="0" fontId="53" fillId="0" borderId="16" xfId="61" applyFont="1" applyFill="1" applyBorder="1" applyAlignment="1" applyProtection="1">
      <alignment horizontal="left" vertical="center" wrapText="1" indent="1"/>
      <protection/>
    </xf>
    <xf numFmtId="0" fontId="53" fillId="0" borderId="24" xfId="0" applyFont="1" applyFill="1" applyBorder="1" applyAlignment="1" applyProtection="1">
      <alignment horizontal="center" vertical="center" wrapText="1"/>
      <protection/>
    </xf>
    <xf numFmtId="49" fontId="45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53" fillId="0" borderId="12" xfId="0" applyFont="1" applyFill="1" applyBorder="1" applyAlignment="1" applyProtection="1">
      <alignment horizontal="center" vertical="center" wrapText="1"/>
      <protection/>
    </xf>
    <xf numFmtId="49" fontId="45" fillId="0" borderId="22" xfId="61" applyNumberFormat="1" applyFont="1" applyFill="1" applyBorder="1" applyAlignment="1" applyProtection="1">
      <alignment horizontal="left" vertical="center" wrapText="1" indent="1"/>
      <protection/>
    </xf>
    <xf numFmtId="167" fontId="4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16" xfId="0" applyFont="1" applyFill="1" applyBorder="1" applyAlignment="1" applyProtection="1">
      <alignment horizontal="center" vertical="center" wrapText="1"/>
      <protection/>
    </xf>
    <xf numFmtId="167" fontId="53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8" fillId="0" borderId="38" xfId="0" applyFont="1" applyFill="1" applyBorder="1" applyAlignment="1" applyProtection="1">
      <alignment horizontal="left" vertical="center"/>
      <protection/>
    </xf>
    <xf numFmtId="0" fontId="59" fillId="0" borderId="34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53" fillId="0" borderId="34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25" xfId="0" applyNumberFormat="1" applyFont="1" applyFill="1" applyBorder="1" applyAlignment="1" applyProtection="1">
      <alignment horizontal="center" vertical="center" wrapText="1"/>
      <protection/>
    </xf>
    <xf numFmtId="167" fontId="53" fillId="0" borderId="16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37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16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30" fillId="0" borderId="0" xfId="61" applyFill="1">
      <alignment/>
      <protection/>
    </xf>
    <xf numFmtId="3" fontId="45" fillId="0" borderId="0" xfId="61" applyNumberFormat="1" applyFont="1" applyFill="1" applyBorder="1">
      <alignment/>
      <protection/>
    </xf>
    <xf numFmtId="167" fontId="45" fillId="0" borderId="0" xfId="61" applyNumberFormat="1" applyFont="1" applyFill="1" applyBorder="1">
      <alignment/>
      <protection/>
    </xf>
    <xf numFmtId="0" fontId="53" fillId="0" borderId="38" xfId="61" applyFont="1" applyFill="1" applyBorder="1" applyAlignment="1" applyProtection="1">
      <alignment horizontal="left" vertical="center" wrapText="1" indent="1"/>
      <protection/>
    </xf>
    <xf numFmtId="0" fontId="61" fillId="0" borderId="0" xfId="61" applyFont="1" applyFill="1">
      <alignment/>
      <protection/>
    </xf>
    <xf numFmtId="49" fontId="45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45" fillId="0" borderId="0" xfId="61" applyFont="1" applyFill="1" applyBorder="1" applyAlignment="1" applyProtection="1">
      <alignment horizontal="left" indent="5"/>
      <protection/>
    </xf>
    <xf numFmtId="3" fontId="45" fillId="0" borderId="0" xfId="61" applyNumberFormat="1" applyFont="1" applyFill="1" applyBorder="1" applyAlignment="1" applyProtection="1">
      <alignment horizontal="right" vertical="center" wrapText="1"/>
      <protection/>
    </xf>
    <xf numFmtId="0" fontId="46" fillId="0" borderId="0" xfId="61" applyFont="1" applyFill="1" applyAlignment="1">
      <alignment horizontal="center" wrapText="1"/>
      <protection/>
    </xf>
    <xf numFmtId="3" fontId="45" fillId="0" borderId="0" xfId="61" applyNumberFormat="1" applyFont="1" applyFill="1">
      <alignment/>
      <protection/>
    </xf>
    <xf numFmtId="0" fontId="45" fillId="0" borderId="0" xfId="61" applyFont="1" applyFill="1">
      <alignment/>
      <protection/>
    </xf>
    <xf numFmtId="49" fontId="20" fillId="0" borderId="0" xfId="0" applyNumberFormat="1" applyFont="1" applyAlignment="1">
      <alignment vertical="center"/>
    </xf>
    <xf numFmtId="0" fontId="40" fillId="0" borderId="0" xfId="0" applyFont="1" applyBorder="1" applyAlignment="1">
      <alignment vertical="center"/>
    </xf>
    <xf numFmtId="49" fontId="7" fillId="0" borderId="47" xfId="0" applyNumberFormat="1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5" fillId="0" borderId="26" xfId="58" applyFont="1" applyFill="1" applyBorder="1" applyAlignment="1">
      <alignment wrapText="1"/>
      <protection/>
    </xf>
    <xf numFmtId="0" fontId="53" fillId="0" borderId="15" xfId="61" applyFont="1" applyFill="1" applyBorder="1" applyAlignment="1" applyProtection="1">
      <alignment horizontal="left" vertical="center" wrapText="1" indent="1"/>
      <protection/>
    </xf>
    <xf numFmtId="49" fontId="53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53" fillId="0" borderId="21" xfId="61" applyNumberFormat="1" applyFont="1" applyFill="1" applyBorder="1" applyAlignment="1" applyProtection="1">
      <alignment horizontal="left" vertical="center" wrapText="1" indent="1"/>
      <protection/>
    </xf>
    <xf numFmtId="167" fontId="30" fillId="0" borderId="0" xfId="0" applyNumberFormat="1" applyFont="1" applyFill="1" applyBorder="1" applyAlignment="1" applyProtection="1">
      <alignment horizontal="left" vertical="center" wrapText="1"/>
      <protection/>
    </xf>
    <xf numFmtId="2" fontId="35" fillId="0" borderId="42" xfId="59" applyNumberFormat="1" applyFont="1" applyBorder="1" applyAlignment="1">
      <alignment horizontal="center" vertical="center"/>
      <protection/>
    </xf>
    <xf numFmtId="167" fontId="27" fillId="0" borderId="16" xfId="61" applyNumberFormat="1" applyFont="1" applyFill="1" applyBorder="1" applyAlignment="1" applyProtection="1">
      <alignment horizontal="right" vertical="center" wrapText="1"/>
      <protection/>
    </xf>
    <xf numFmtId="167" fontId="42" fillId="0" borderId="10" xfId="61" applyNumberFormat="1" applyFont="1" applyFill="1" applyBorder="1" applyAlignment="1" applyProtection="1">
      <alignment horizontal="left" vertical="center"/>
      <protection/>
    </xf>
    <xf numFmtId="3" fontId="27" fillId="0" borderId="17" xfId="61" applyNumberFormat="1" applyFont="1" applyFill="1" applyBorder="1" applyAlignment="1" applyProtection="1">
      <alignment horizontal="right" vertical="center" wrapText="1"/>
      <protection/>
    </xf>
    <xf numFmtId="3" fontId="27" fillId="0" borderId="22" xfId="61" applyNumberFormat="1" applyFont="1" applyFill="1" applyBorder="1" applyAlignment="1" applyProtection="1">
      <alignment horizontal="right" vertical="center" wrapText="1"/>
      <protection/>
    </xf>
    <xf numFmtId="3" fontId="27" fillId="0" borderId="13" xfId="61" applyNumberFormat="1" applyFont="1" applyFill="1" applyBorder="1" applyAlignment="1" applyProtection="1">
      <alignment horizontal="right" vertical="center" wrapText="1"/>
      <protection/>
    </xf>
    <xf numFmtId="49" fontId="43" fillId="0" borderId="12" xfId="61" applyNumberFormat="1" applyFont="1" applyFill="1" applyBorder="1" applyAlignment="1" applyProtection="1">
      <alignment horizontal="left" vertical="center" wrapText="1"/>
      <protection/>
    </xf>
    <xf numFmtId="49" fontId="29" fillId="0" borderId="12" xfId="61" applyNumberFormat="1" applyFont="1" applyFill="1" applyBorder="1" applyAlignment="1">
      <alignment horizontal="left"/>
      <protection/>
    </xf>
    <xf numFmtId="49" fontId="29" fillId="0" borderId="12" xfId="61" applyNumberFormat="1" applyFont="1" applyFill="1" applyBorder="1" applyAlignment="1" applyProtection="1">
      <alignment horizontal="left" vertical="center" wrapText="1"/>
      <protection/>
    </xf>
    <xf numFmtId="0" fontId="27" fillId="0" borderId="15" xfId="61" applyFont="1" applyFill="1" applyBorder="1" applyAlignment="1">
      <alignment horizontal="center"/>
      <protection/>
    </xf>
    <xf numFmtId="3" fontId="27" fillId="0" borderId="17" xfId="61" applyNumberFormat="1" applyFont="1" applyFill="1" applyBorder="1">
      <alignment/>
      <protection/>
    </xf>
    <xf numFmtId="3" fontId="29" fillId="0" borderId="22" xfId="61" applyNumberFormat="1" applyFont="1" applyFill="1" applyBorder="1">
      <alignment/>
      <protection/>
    </xf>
    <xf numFmtId="167" fontId="29" fillId="0" borderId="22" xfId="61" applyNumberFormat="1" applyFont="1" applyFill="1" applyBorder="1">
      <alignment/>
      <protection/>
    </xf>
    <xf numFmtId="49" fontId="43" fillId="0" borderId="21" xfId="61" applyNumberFormat="1" applyFont="1" applyFill="1" applyBorder="1" applyAlignment="1">
      <alignment horizontal="left"/>
      <protection/>
    </xf>
    <xf numFmtId="3" fontId="29" fillId="0" borderId="13" xfId="61" applyNumberFormat="1" applyFont="1" applyFill="1" applyBorder="1">
      <alignment/>
      <protection/>
    </xf>
    <xf numFmtId="167" fontId="27" fillId="0" borderId="42" xfId="61" applyNumberFormat="1" applyFont="1" applyFill="1" applyBorder="1" applyAlignment="1" applyProtection="1">
      <alignment horizontal="right" vertical="center" wrapText="1"/>
      <protection/>
    </xf>
    <xf numFmtId="167" fontId="27" fillId="0" borderId="17" xfId="61" applyNumberFormat="1" applyFont="1" applyFill="1" applyBorder="1" applyAlignment="1" applyProtection="1">
      <alignment horizontal="right" vertical="center" wrapText="1"/>
      <protection/>
    </xf>
    <xf numFmtId="167" fontId="27" fillId="0" borderId="22" xfId="61" applyNumberFormat="1" applyFont="1" applyFill="1" applyBorder="1" applyAlignment="1" applyProtection="1">
      <alignment horizontal="right" vertical="center" wrapText="1"/>
      <protection/>
    </xf>
    <xf numFmtId="3" fontId="18" fillId="0" borderId="14" xfId="58" applyNumberFormat="1" applyFont="1" applyBorder="1" applyAlignment="1">
      <alignment horizontal="right"/>
      <protection/>
    </xf>
    <xf numFmtId="0" fontId="7" fillId="0" borderId="4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5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37" xfId="0" applyNumberFormat="1" applyFont="1" applyFill="1" applyBorder="1" applyAlignment="1" applyProtection="1">
      <alignment horizontal="center" vertical="center" wrapText="1"/>
      <protection/>
    </xf>
    <xf numFmtId="167" fontId="49" fillId="0" borderId="49" xfId="0" applyNumberFormat="1" applyFont="1" applyFill="1" applyBorder="1" applyAlignment="1" applyProtection="1">
      <alignment horizontal="center" vertical="center" wrapText="1"/>
      <protection/>
    </xf>
    <xf numFmtId="167" fontId="53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29" xfId="0" applyNumberFormat="1" applyFont="1" applyFill="1" applyBorder="1" applyAlignment="1" applyProtection="1">
      <alignment horizontal="center" vertical="center" wrapText="1"/>
      <protection/>
    </xf>
    <xf numFmtId="167" fontId="49" fillId="0" borderId="52" xfId="0" applyNumberFormat="1" applyFont="1" applyFill="1" applyBorder="1" applyAlignment="1" applyProtection="1">
      <alignment horizontal="center" vertical="center" wrapText="1"/>
      <protection/>
    </xf>
    <xf numFmtId="167" fontId="5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6" xfId="0" applyNumberFormat="1" applyFont="1" applyFill="1" applyBorder="1" applyAlignment="1">
      <alignment horizontal="right" vertical="center" wrapText="1"/>
    </xf>
    <xf numFmtId="3" fontId="7" fillId="33" borderId="19" xfId="0" applyNumberFormat="1" applyFont="1" applyFill="1" applyBorder="1" applyAlignment="1">
      <alignment horizontal="right" vertical="center" wrapText="1"/>
    </xf>
    <xf numFmtId="3" fontId="7" fillId="33" borderId="22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2" fontId="33" fillId="0" borderId="0" xfId="59" applyNumberFormat="1" applyFont="1" applyAlignment="1">
      <alignment horizontal="center" vertical="center"/>
      <protection/>
    </xf>
    <xf numFmtId="1" fontId="37" fillId="0" borderId="23" xfId="59" applyNumberFormat="1" applyFont="1" applyFill="1" applyBorder="1" applyAlignment="1">
      <alignment horizontal="center" vertical="center" wrapText="1"/>
      <protection/>
    </xf>
    <xf numFmtId="1" fontId="35" fillId="0" borderId="43" xfId="59" applyNumberFormat="1" applyFont="1" applyBorder="1" applyAlignment="1">
      <alignment horizontal="center" vertical="center"/>
      <protection/>
    </xf>
    <xf numFmtId="1" fontId="35" fillId="0" borderId="39" xfId="59" applyNumberFormat="1" applyFont="1" applyBorder="1" applyAlignment="1">
      <alignment horizontal="center" vertical="center" wrapText="1"/>
      <protection/>
    </xf>
    <xf numFmtId="0" fontId="46" fillId="0" borderId="0" xfId="61" applyFont="1" applyFill="1" applyBorder="1" applyAlignment="1">
      <alignment horizontal="center" wrapText="1"/>
      <protection/>
    </xf>
    <xf numFmtId="0" fontId="3" fillId="0" borderId="34" xfId="0" applyFont="1" applyFill="1" applyBorder="1" applyAlignment="1">
      <alignment horizontal="center" vertical="center" wrapText="1"/>
    </xf>
    <xf numFmtId="0" fontId="46" fillId="0" borderId="0" xfId="61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3" fillId="0" borderId="54" xfId="0" applyFont="1" applyFill="1" applyBorder="1" applyAlignment="1" applyProtection="1">
      <alignment horizontal="center" vertical="center" wrapText="1"/>
      <protection/>
    </xf>
    <xf numFmtId="167" fontId="49" fillId="0" borderId="5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4" xfId="58" applyFont="1" applyFill="1" applyBorder="1" applyAlignment="1">
      <alignment horizontal="center" vertical="center" wrapText="1"/>
      <protection/>
    </xf>
    <xf numFmtId="0" fontId="12" fillId="1" borderId="19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45" xfId="0" applyFont="1" applyFill="1" applyBorder="1" applyAlignment="1" applyProtection="1">
      <alignment horizontal="center" vertical="center" wrapText="1"/>
      <protection/>
    </xf>
    <xf numFmtId="0" fontId="11" fillId="0" borderId="0" xfId="58" applyFont="1" applyAlignment="1">
      <alignment wrapText="1"/>
      <protection/>
    </xf>
    <xf numFmtId="0" fontId="0" fillId="0" borderId="0" xfId="0" applyFont="1" applyFill="1" applyAlignment="1">
      <alignment vertical="center" wrapText="1"/>
    </xf>
    <xf numFmtId="0" fontId="67" fillId="0" borderId="45" xfId="0" applyFont="1" applyBorder="1" applyAlignment="1" applyProtection="1">
      <alignment horizontal="center" wrapText="1"/>
      <protection/>
    </xf>
    <xf numFmtId="0" fontId="51" fillId="0" borderId="4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3" fontId="13" fillId="0" borderId="24" xfId="58" applyNumberFormat="1" applyFont="1" applyFill="1" applyBorder="1" applyAlignment="1">
      <alignment vertical="center"/>
      <protection/>
    </xf>
    <xf numFmtId="0" fontId="11" fillId="0" borderId="18" xfId="58" applyFont="1" applyBorder="1" applyAlignment="1">
      <alignment vertical="center" wrapText="1"/>
      <protection/>
    </xf>
    <xf numFmtId="0" fontId="11" fillId="0" borderId="20" xfId="58" applyFont="1" applyBorder="1" applyAlignment="1">
      <alignment vertical="center" wrapText="1"/>
      <protection/>
    </xf>
    <xf numFmtId="0" fontId="11" fillId="0" borderId="32" xfId="58" applyFont="1" applyBorder="1" applyAlignment="1">
      <alignment vertical="center" wrapText="1"/>
      <protection/>
    </xf>
    <xf numFmtId="0" fontId="11" fillId="0" borderId="36" xfId="58" applyFont="1" applyBorder="1" applyAlignment="1">
      <alignment vertical="center" wrapText="1"/>
      <protection/>
    </xf>
    <xf numFmtId="0" fontId="13" fillId="0" borderId="56" xfId="58" applyFont="1" applyBorder="1" applyAlignment="1">
      <alignment vertical="center" wrapText="1"/>
      <protection/>
    </xf>
    <xf numFmtId="0" fontId="11" fillId="0" borderId="18" xfId="58" applyFont="1" applyBorder="1" applyAlignment="1">
      <alignment vertical="center"/>
      <protection/>
    </xf>
    <xf numFmtId="0" fontId="11" fillId="0" borderId="32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56" xfId="0" applyFont="1" applyBorder="1" applyAlignment="1">
      <alignment horizontal="center" vertical="center" wrapText="1"/>
    </xf>
    <xf numFmtId="0" fontId="19" fillId="0" borderId="32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38" fillId="0" borderId="56" xfId="58" applyFont="1" applyBorder="1" applyAlignment="1">
      <alignment horizontal="center" vertical="center"/>
      <protection/>
    </xf>
    <xf numFmtId="0" fontId="7" fillId="0" borderId="31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0" xfId="43" applyFont="1" applyBorder="1" applyAlignment="1" applyProtection="1">
      <alignment vertical="center" wrapText="1"/>
      <protection/>
    </xf>
    <xf numFmtId="0" fontId="7" fillId="0" borderId="30" xfId="0" applyFont="1" applyFill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9" fillId="0" borderId="38" xfId="0" applyNumberFormat="1" applyFont="1" applyFill="1" applyBorder="1" applyAlignment="1">
      <alignment vertical="center"/>
    </xf>
    <xf numFmtId="3" fontId="39" fillId="0" borderId="16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horizontal="right" vertical="center"/>
    </xf>
    <xf numFmtId="3" fontId="7" fillId="0" borderId="26" xfId="0" applyNumberFormat="1" applyFont="1" applyBorder="1" applyAlignment="1">
      <alignment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3" fontId="3" fillId="33" borderId="38" xfId="0" applyNumberFormat="1" applyFont="1" applyFill="1" applyBorder="1" applyAlignment="1">
      <alignment horizontal="right" vertical="center" wrapText="1"/>
    </xf>
    <xf numFmtId="3" fontId="7" fillId="33" borderId="24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64" fillId="0" borderId="0" xfId="59" applyFont="1" applyAlignment="1">
      <alignment horizontal="right" vertical="center"/>
      <protection/>
    </xf>
    <xf numFmtId="0" fontId="34" fillId="0" borderId="0" xfId="59" applyFont="1" applyAlignment="1">
      <alignment horizontal="center" vertical="center"/>
      <protection/>
    </xf>
    <xf numFmtId="49" fontId="0" fillId="0" borderId="48" xfId="0" applyNumberFormat="1" applyFont="1" applyBorder="1" applyAlignment="1">
      <alignment horizontal="left"/>
    </xf>
    <xf numFmtId="0" fontId="13" fillId="0" borderId="34" xfId="58" applyFont="1" applyBorder="1" applyAlignment="1">
      <alignment horizontal="center" vertical="center"/>
      <protection/>
    </xf>
    <xf numFmtId="49" fontId="3" fillId="0" borderId="57" xfId="0" applyNumberFormat="1" applyFont="1" applyBorder="1" applyAlignment="1">
      <alignment horizontal="left" vertical="center"/>
    </xf>
    <xf numFmtId="3" fontId="3" fillId="0" borderId="44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10" fontId="33" fillId="0" borderId="0" xfId="59" applyNumberFormat="1" applyFont="1" applyAlignment="1">
      <alignment horizontal="center" vertical="center"/>
      <protection/>
    </xf>
    <xf numFmtId="0" fontId="33" fillId="0" borderId="12" xfId="59" applyFont="1" applyBorder="1" applyAlignment="1">
      <alignment horizontal="center" vertical="center"/>
      <protection/>
    </xf>
    <xf numFmtId="10" fontId="33" fillId="0" borderId="23" xfId="59" applyNumberFormat="1" applyFont="1" applyBorder="1" applyAlignment="1">
      <alignment horizontal="center" vertical="center"/>
      <protection/>
    </xf>
    <xf numFmtId="0" fontId="33" fillId="0" borderId="24" xfId="59" applyFont="1" applyBorder="1" applyAlignment="1">
      <alignment horizontal="center" vertical="center"/>
      <protection/>
    </xf>
    <xf numFmtId="10" fontId="33" fillId="0" borderId="51" xfId="59" applyNumberFormat="1" applyFont="1" applyBorder="1" applyAlignment="1">
      <alignment horizontal="center" vertical="center"/>
      <protection/>
    </xf>
    <xf numFmtId="0" fontId="33" fillId="0" borderId="21" xfId="59" applyFont="1" applyBorder="1" applyAlignment="1">
      <alignment horizontal="center" vertical="center"/>
      <protection/>
    </xf>
    <xf numFmtId="0" fontId="33" fillId="0" borderId="14" xfId="59" applyFont="1" applyBorder="1" applyAlignment="1">
      <alignment horizontal="center" vertical="center"/>
      <protection/>
    </xf>
    <xf numFmtId="0" fontId="33" fillId="0" borderId="26" xfId="59" applyFont="1" applyBorder="1" applyAlignment="1">
      <alignment horizontal="center" vertical="center"/>
      <protection/>
    </xf>
    <xf numFmtId="10" fontId="33" fillId="0" borderId="52" xfId="59" applyNumberFormat="1" applyFont="1" applyBorder="1" applyAlignment="1">
      <alignment horizontal="center" vertical="center"/>
      <protection/>
    </xf>
    <xf numFmtId="1" fontId="35" fillId="0" borderId="38" xfId="59" applyNumberFormat="1" applyFont="1" applyBorder="1" applyAlignment="1">
      <alignment horizontal="center" vertical="center"/>
      <protection/>
    </xf>
    <xf numFmtId="10" fontId="33" fillId="0" borderId="39" xfId="59" applyNumberFormat="1" applyFont="1" applyBorder="1" applyAlignment="1">
      <alignment horizontal="center" vertical="center"/>
      <protection/>
    </xf>
    <xf numFmtId="3" fontId="11" fillId="0" borderId="0" xfId="58" applyNumberFormat="1" applyFont="1">
      <alignment/>
      <protection/>
    </xf>
    <xf numFmtId="10" fontId="53" fillId="0" borderId="39" xfId="0" applyNumberFormat="1" applyFont="1" applyFill="1" applyBorder="1" applyAlignment="1" applyProtection="1">
      <alignment horizontal="right" vertical="center" wrapText="1" indent="1"/>
      <protection/>
    </xf>
    <xf numFmtId="3" fontId="41" fillId="0" borderId="58" xfId="58" applyNumberFormat="1" applyFont="1" applyFill="1" applyBorder="1" applyAlignment="1">
      <alignment horizontal="right"/>
      <protection/>
    </xf>
    <xf numFmtId="3" fontId="41" fillId="0" borderId="58" xfId="58" applyNumberFormat="1" applyFont="1" applyBorder="1" applyAlignment="1">
      <alignment horizontal="right"/>
      <protection/>
    </xf>
    <xf numFmtId="0" fontId="41" fillId="0" borderId="12" xfId="58" applyFont="1" applyBorder="1" applyAlignment="1">
      <alignment horizontal="right"/>
      <protection/>
    </xf>
    <xf numFmtId="3" fontId="41" fillId="0" borderId="12" xfId="58" applyNumberFormat="1" applyFont="1" applyBorder="1" applyAlignment="1">
      <alignment horizontal="right"/>
      <protection/>
    </xf>
    <xf numFmtId="3" fontId="41" fillId="0" borderId="12" xfId="58" applyNumberFormat="1" applyFont="1" applyFill="1" applyBorder="1" applyAlignment="1">
      <alignment horizontal="right"/>
      <protection/>
    </xf>
    <xf numFmtId="3" fontId="41" fillId="0" borderId="55" xfId="58" applyNumberFormat="1" applyFont="1" applyBorder="1" applyAlignment="1">
      <alignment horizontal="right"/>
      <protection/>
    </xf>
    <xf numFmtId="0" fontId="3" fillId="0" borderId="3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Continuous" vertical="center" wrapText="1"/>
    </xf>
    <xf numFmtId="0" fontId="3" fillId="0" borderId="39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10" fontId="4" fillId="0" borderId="16" xfId="0" applyNumberFormat="1" applyFont="1" applyBorder="1" applyAlignment="1">
      <alignment vertical="center"/>
    </xf>
    <xf numFmtId="10" fontId="4" fillId="0" borderId="39" xfId="0" applyNumberFormat="1" applyFont="1" applyBorder="1" applyAlignment="1">
      <alignment vertical="center"/>
    </xf>
    <xf numFmtId="0" fontId="11" fillId="0" borderId="31" xfId="58" applyFont="1" applyBorder="1" applyAlignment="1">
      <alignment vertical="center" wrapText="1"/>
      <protection/>
    </xf>
    <xf numFmtId="0" fontId="11" fillId="0" borderId="30" xfId="58" applyFont="1" applyBorder="1" applyAlignment="1">
      <alignment vertical="center" wrapText="1"/>
      <protection/>
    </xf>
    <xf numFmtId="0" fontId="11" fillId="0" borderId="30" xfId="58" applyFont="1" applyFill="1" applyBorder="1" applyAlignment="1">
      <alignment vertical="center" wrapText="1"/>
      <protection/>
    </xf>
    <xf numFmtId="0" fontId="11" fillId="0" borderId="33" xfId="58" applyFont="1" applyBorder="1" applyAlignment="1">
      <alignment vertical="center" wrapText="1"/>
      <protection/>
    </xf>
    <xf numFmtId="0" fontId="11" fillId="0" borderId="59" xfId="58" applyFont="1" applyBorder="1" applyAlignment="1">
      <alignment vertical="center" wrapText="1"/>
      <protection/>
    </xf>
    <xf numFmtId="0" fontId="13" fillId="0" borderId="34" xfId="58" applyFont="1" applyBorder="1" applyAlignment="1">
      <alignment vertical="center" wrapText="1"/>
      <protection/>
    </xf>
    <xf numFmtId="0" fontId="17" fillId="0" borderId="34" xfId="58" applyFont="1" applyBorder="1" applyAlignment="1">
      <alignment horizontal="center" vertical="center" wrapText="1"/>
      <protection/>
    </xf>
    <xf numFmtId="0" fontId="11" fillId="0" borderId="47" xfId="58" applyFont="1" applyBorder="1" applyAlignment="1">
      <alignment vertical="center" wrapText="1"/>
      <protection/>
    </xf>
    <xf numFmtId="0" fontId="13" fillId="0" borderId="34" xfId="58" applyFont="1" applyBorder="1" applyAlignment="1">
      <alignment vertical="center"/>
      <protection/>
    </xf>
    <xf numFmtId="0" fontId="11" fillId="0" borderId="31" xfId="58" applyFont="1" applyFill="1" applyBorder="1" applyAlignment="1">
      <alignment vertical="center" wrapText="1"/>
      <protection/>
    </xf>
    <xf numFmtId="0" fontId="11" fillId="0" borderId="33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38" fillId="0" borderId="34" xfId="58" applyFont="1" applyBorder="1" applyAlignment="1">
      <alignment horizontal="center" vertical="center"/>
      <protection/>
    </xf>
    <xf numFmtId="0" fontId="13" fillId="0" borderId="38" xfId="58" applyFont="1" applyBorder="1" applyAlignment="1">
      <alignment horizontal="center" vertical="center"/>
      <protection/>
    </xf>
    <xf numFmtId="0" fontId="13" fillId="0" borderId="16" xfId="58" applyFont="1" applyBorder="1" applyAlignment="1">
      <alignment horizontal="center" vertical="center"/>
      <protection/>
    </xf>
    <xf numFmtId="0" fontId="13" fillId="0" borderId="39" xfId="58" applyFont="1" applyBorder="1" applyAlignment="1">
      <alignment horizontal="center" vertical="center"/>
      <protection/>
    </xf>
    <xf numFmtId="3" fontId="11" fillId="0" borderId="24" xfId="58" applyNumberFormat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26" xfId="58" applyNumberFormat="1" applyBorder="1" applyAlignment="1">
      <alignment vertical="center"/>
      <protection/>
    </xf>
    <xf numFmtId="3" fontId="11" fillId="0" borderId="21" xfId="58" applyNumberFormat="1" applyBorder="1" applyAlignment="1">
      <alignment vertical="center"/>
      <protection/>
    </xf>
    <xf numFmtId="3" fontId="11" fillId="0" borderId="35" xfId="58" applyNumberFormat="1" applyBorder="1" applyAlignment="1">
      <alignment vertical="center"/>
      <protection/>
    </xf>
    <xf numFmtId="3" fontId="13" fillId="0" borderId="26" xfId="58" applyNumberFormat="1" applyFont="1" applyBorder="1" applyAlignment="1">
      <alignment vertical="center"/>
      <protection/>
    </xf>
    <xf numFmtId="3" fontId="13" fillId="0" borderId="38" xfId="58" applyNumberFormat="1" applyFont="1" applyBorder="1" applyAlignment="1">
      <alignment vertical="center"/>
      <protection/>
    </xf>
    <xf numFmtId="3" fontId="17" fillId="0" borderId="38" xfId="58" applyNumberFormat="1" applyFont="1" applyBorder="1" applyAlignment="1">
      <alignment vertical="center"/>
      <protection/>
    </xf>
    <xf numFmtId="3" fontId="11" fillId="0" borderId="15" xfId="58" applyNumberFormat="1" applyFill="1" applyBorder="1" applyAlignment="1">
      <alignment vertical="center"/>
      <protection/>
    </xf>
    <xf numFmtId="3" fontId="11" fillId="0" borderId="24" xfId="58" applyNumberFormat="1" applyFont="1" applyBorder="1" applyAlignment="1">
      <alignment vertical="center"/>
      <protection/>
    </xf>
    <xf numFmtId="3" fontId="17" fillId="0" borderId="26" xfId="58" applyNumberFormat="1" applyFont="1" applyBorder="1" applyAlignment="1">
      <alignment vertical="center"/>
      <protection/>
    </xf>
    <xf numFmtId="3" fontId="17" fillId="0" borderId="35" xfId="58" applyNumberFormat="1" applyFont="1" applyBorder="1" applyAlignment="1">
      <alignment vertical="center"/>
      <protection/>
    </xf>
    <xf numFmtId="3" fontId="38" fillId="0" borderId="35" xfId="58" applyNumberFormat="1" applyFont="1" applyBorder="1" applyAlignment="1">
      <alignment vertical="center"/>
      <protection/>
    </xf>
    <xf numFmtId="3" fontId="11" fillId="0" borderId="15" xfId="58" applyNumberFormat="1" applyBorder="1" applyAlignment="1">
      <alignment vertical="center"/>
      <protection/>
    </xf>
    <xf numFmtId="3" fontId="11" fillId="0" borderId="12" xfId="58" applyNumberFormat="1" applyFill="1" applyBorder="1" applyAlignment="1">
      <alignment vertical="center"/>
      <protection/>
    </xf>
    <xf numFmtId="3" fontId="11" fillId="0" borderId="38" xfId="58" applyNumberFormat="1" applyBorder="1" applyAlignment="1">
      <alignment vertical="center"/>
      <protection/>
    </xf>
    <xf numFmtId="3" fontId="38" fillId="0" borderId="38" xfId="58" applyNumberFormat="1" applyFont="1" applyBorder="1" applyAlignment="1">
      <alignment vertical="center"/>
      <protection/>
    </xf>
    <xf numFmtId="0" fontId="3" fillId="0" borderId="38" xfId="0" applyFont="1" applyFill="1" applyBorder="1" applyAlignment="1">
      <alignment horizontal="centerContinuous" vertical="center" wrapText="1"/>
    </xf>
    <xf numFmtId="3" fontId="3" fillId="0" borderId="26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5" xfId="0" applyNumberFormat="1" applyFont="1" applyFill="1" applyBorder="1" applyAlignment="1">
      <alignment horizontal="right" vertical="center" wrapText="1"/>
    </xf>
    <xf numFmtId="3" fontId="7" fillId="33" borderId="17" xfId="0" applyNumberFormat="1" applyFont="1" applyFill="1" applyBorder="1" applyAlignment="1">
      <alignment horizontal="right" vertical="center" wrapText="1"/>
    </xf>
    <xf numFmtId="49" fontId="0" fillId="0" borderId="36" xfId="0" applyNumberFormat="1" applyFont="1" applyBorder="1" applyAlignment="1">
      <alignment horizontal="left"/>
    </xf>
    <xf numFmtId="49" fontId="7" fillId="0" borderId="60" xfId="0" applyNumberFormat="1" applyFont="1" applyBorder="1" applyAlignment="1">
      <alignment horizontal="left" vertical="center"/>
    </xf>
    <xf numFmtId="0" fontId="49" fillId="0" borderId="50" xfId="0" applyFont="1" applyFill="1" applyBorder="1" applyAlignment="1" applyProtection="1">
      <alignment horizontal="center" vertical="center" wrapText="1"/>
      <protection/>
    </xf>
    <xf numFmtId="0" fontId="49" fillId="0" borderId="49" xfId="0" applyFont="1" applyFill="1" applyBorder="1" applyAlignment="1" applyProtection="1">
      <alignment horizontal="center" vertical="center" wrapText="1"/>
      <protection/>
    </xf>
    <xf numFmtId="167" fontId="53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34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47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34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26" xfId="0" applyNumberFormat="1" applyFont="1" applyFill="1" applyBorder="1" applyAlignment="1" applyProtection="1">
      <alignment horizontal="center" vertical="center" wrapText="1"/>
      <protection/>
    </xf>
    <xf numFmtId="167" fontId="53" fillId="0" borderId="38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38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54" xfId="61" applyFont="1" applyFill="1" applyBorder="1" applyAlignment="1" applyProtection="1">
      <alignment horizontal="left" vertical="center" wrapText="1" indent="1"/>
      <protection/>
    </xf>
    <xf numFmtId="0" fontId="45" fillId="0" borderId="61" xfId="61" applyFont="1" applyFill="1" applyBorder="1" applyAlignment="1" applyProtection="1">
      <alignment horizontal="left" vertical="center" wrapText="1" indent="1"/>
      <protection/>
    </xf>
    <xf numFmtId="0" fontId="45" fillId="0" borderId="58" xfId="61" applyFont="1" applyFill="1" applyBorder="1" applyAlignment="1" applyProtection="1">
      <alignment horizontal="left" vertical="center" wrapText="1" indent="1"/>
      <protection/>
    </xf>
    <xf numFmtId="0" fontId="53" fillId="0" borderId="54" xfId="61" applyFont="1" applyFill="1" applyBorder="1" applyAlignment="1" applyProtection="1">
      <alignment horizontal="left" vertical="center" wrapText="1" indent="1"/>
      <protection/>
    </xf>
    <xf numFmtId="0" fontId="53" fillId="0" borderId="34" xfId="61" applyFont="1" applyFill="1" applyBorder="1" applyAlignment="1" applyProtection="1">
      <alignment horizontal="left" vertical="center" wrapText="1" indent="1"/>
      <protection/>
    </xf>
    <xf numFmtId="0" fontId="49" fillId="0" borderId="54" xfId="0" applyFont="1" applyFill="1" applyBorder="1" applyAlignment="1" applyProtection="1">
      <alignment horizontal="left" vertical="center" wrapText="1" indent="1"/>
      <protection/>
    </xf>
    <xf numFmtId="0" fontId="28" fillId="0" borderId="34" xfId="0" applyFont="1" applyFill="1" applyBorder="1" applyAlignment="1" applyProtection="1">
      <alignment vertical="center" wrapText="1"/>
      <protection/>
    </xf>
    <xf numFmtId="167" fontId="4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49" fillId="0" borderId="44" xfId="0" applyFont="1" applyFill="1" applyBorder="1" applyAlignment="1" applyProtection="1">
      <alignment horizontal="center" vertical="center" wrapText="1"/>
      <protection/>
    </xf>
    <xf numFmtId="10" fontId="53" fillId="0" borderId="46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0" xfId="0" applyFill="1" applyBorder="1" applyAlignment="1" applyProtection="1">
      <alignment horizontal="right" vertical="center" wrapText="1" indent="1"/>
      <protection/>
    </xf>
    <xf numFmtId="0" fontId="0" fillId="0" borderId="27" xfId="0" applyFill="1" applyBorder="1" applyAlignment="1" applyProtection="1">
      <alignment horizontal="right" vertical="center" wrapText="1" indent="1"/>
      <protection/>
    </xf>
    <xf numFmtId="0" fontId="0" fillId="0" borderId="53" xfId="0" applyFill="1" applyBorder="1" applyAlignment="1">
      <alignment vertical="center" wrapText="1"/>
    </xf>
    <xf numFmtId="3" fontId="2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63" xfId="0" applyFont="1" applyFill="1" applyBorder="1" applyAlignment="1" applyProtection="1">
      <alignment horizontal="center" vertical="center" wrapText="1"/>
      <protection/>
    </xf>
    <xf numFmtId="0" fontId="53" fillId="0" borderId="54" xfId="0" applyFont="1" applyFill="1" applyBorder="1" applyAlignment="1" applyProtection="1">
      <alignment horizontal="left" vertical="center" wrapText="1" indent="1"/>
      <protection/>
    </xf>
    <xf numFmtId="0" fontId="45" fillId="0" borderId="64" xfId="61" applyFont="1" applyFill="1" applyBorder="1" applyAlignment="1" applyProtection="1">
      <alignment horizontal="left" vertical="center" wrapText="1" indent="1"/>
      <protection/>
    </xf>
    <xf numFmtId="0" fontId="45" fillId="0" borderId="65" xfId="61" applyFont="1" applyFill="1" applyBorder="1" applyAlignment="1" applyProtection="1">
      <alignment horizontal="left" vertical="center" wrapText="1" indent="1"/>
      <protection/>
    </xf>
    <xf numFmtId="0" fontId="53" fillId="0" borderId="63" xfId="61" applyFont="1" applyFill="1" applyBorder="1" applyAlignment="1" applyProtection="1">
      <alignment horizontal="left" vertical="center" wrapText="1" indent="1"/>
      <protection/>
    </xf>
    <xf numFmtId="0" fontId="45" fillId="0" borderId="66" xfId="61" applyFont="1" applyFill="1" applyBorder="1" applyAlignment="1" applyProtection="1">
      <alignment horizontal="left" vertical="center" wrapText="1" indent="1"/>
      <protection/>
    </xf>
    <xf numFmtId="0" fontId="50" fillId="0" borderId="34" xfId="0" applyFont="1" applyBorder="1" applyAlignment="1" applyProtection="1">
      <alignment horizontal="left" wrapText="1" indent="1"/>
      <protection/>
    </xf>
    <xf numFmtId="0" fontId="53" fillId="0" borderId="46" xfId="0" applyFont="1" applyFill="1" applyBorder="1" applyAlignment="1" applyProtection="1">
      <alignment horizontal="center" vertical="center" wrapText="1"/>
      <protection/>
    </xf>
    <xf numFmtId="167" fontId="49" fillId="0" borderId="67" xfId="0" applyNumberFormat="1" applyFont="1" applyFill="1" applyBorder="1" applyAlignment="1" applyProtection="1">
      <alignment horizontal="center" vertical="center" wrapText="1"/>
      <protection/>
    </xf>
    <xf numFmtId="10" fontId="45" fillId="0" borderId="30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27" xfId="0" applyNumberFormat="1" applyFont="1" applyFill="1" applyBorder="1" applyAlignment="1" applyProtection="1">
      <alignment horizontal="center" vertical="center" wrapText="1"/>
      <protection/>
    </xf>
    <xf numFmtId="10" fontId="45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right" vertical="center" wrapText="1" indent="1"/>
      <protection/>
    </xf>
    <xf numFmtId="0" fontId="0" fillId="0" borderId="27" xfId="0" applyFont="1" applyFill="1" applyBorder="1" applyAlignment="1" applyProtection="1">
      <alignment horizontal="right" vertical="center" wrapText="1" inden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28" fillId="0" borderId="46" xfId="0" applyFont="1" applyFill="1" applyBorder="1" applyAlignment="1">
      <alignment vertical="center"/>
    </xf>
    <xf numFmtId="10" fontId="53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68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6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0" xfId="0" applyFont="1" applyFill="1" applyBorder="1" applyAlignment="1" applyProtection="1">
      <alignment horizontal="right" vertical="center" wrapText="1" indent="1"/>
      <protection/>
    </xf>
    <xf numFmtId="3" fontId="28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16" xfId="0" applyNumberFormat="1" applyFont="1" applyFill="1" applyBorder="1" applyAlignment="1" applyProtection="1">
      <alignment horizontal="right" vertical="center" wrapText="1" indent="1"/>
      <protection/>
    </xf>
    <xf numFmtId="49" fontId="4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4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49" fontId="4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37" xfId="0" applyNumberFormat="1" applyFont="1" applyFill="1" applyBorder="1" applyAlignment="1" applyProtection="1">
      <alignment horizontal="right" vertical="center" wrapText="1" indent="1"/>
      <protection/>
    </xf>
    <xf numFmtId="49" fontId="4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16" xfId="0" applyNumberFormat="1" applyFont="1" applyFill="1" applyBorder="1" applyAlignment="1" applyProtection="1">
      <alignment horizontal="right" vertical="center" wrapText="1" indent="1"/>
      <protection/>
    </xf>
    <xf numFmtId="49" fontId="53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4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49" fontId="4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3" xfId="0" applyNumberFormat="1" applyFont="1" applyFill="1" applyBorder="1" applyAlignment="1" applyProtection="1">
      <alignment horizontal="right" vertical="center" wrapText="1" indent="1"/>
      <protection/>
    </xf>
    <xf numFmtId="49" fontId="2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21" xfId="59" applyFont="1" applyBorder="1" applyAlignment="1">
      <alignment horizontal="center" vertical="center" wrapText="1"/>
      <protection/>
    </xf>
    <xf numFmtId="0" fontId="14" fillId="0" borderId="58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2" fillId="0" borderId="38" xfId="58" applyNumberFormat="1" applyFont="1" applyFill="1" applyBorder="1" applyAlignment="1">
      <alignment horizontal="right" vertical="center"/>
      <protection/>
    </xf>
    <xf numFmtId="10" fontId="15" fillId="0" borderId="23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5" xfId="0" applyNumberFormat="1" applyFont="1" applyFill="1" applyBorder="1" applyAlignment="1">
      <alignment horizontal="right" vertical="center"/>
    </xf>
    <xf numFmtId="3" fontId="15" fillId="0" borderId="24" xfId="0" applyNumberFormat="1" applyFont="1" applyFill="1" applyBorder="1" applyAlignment="1">
      <alignment horizontal="right" vertical="center"/>
    </xf>
    <xf numFmtId="0" fontId="11" fillId="0" borderId="48" xfId="58" applyFont="1" applyBorder="1">
      <alignment/>
      <protection/>
    </xf>
    <xf numFmtId="0" fontId="11" fillId="0" borderId="48" xfId="58" applyFont="1" applyFill="1" applyBorder="1">
      <alignment/>
      <protection/>
    </xf>
    <xf numFmtId="0" fontId="12" fillId="1" borderId="19" xfId="58" applyFont="1" applyFill="1" applyBorder="1" applyAlignment="1">
      <alignment horizontal="center" vertical="center" wrapText="1"/>
      <protection/>
    </xf>
    <xf numFmtId="0" fontId="7" fillId="0" borderId="30" xfId="0" applyFont="1" applyBorder="1" applyAlignment="1">
      <alignment horizontal="left" wrapText="1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2" fillId="0" borderId="38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10" fontId="2" fillId="0" borderId="16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10" fontId="2" fillId="0" borderId="39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0" fontId="1" fillId="0" borderId="0" xfId="57" applyFill="1">
      <alignment/>
      <protection/>
    </xf>
    <xf numFmtId="0" fontId="1" fillId="0" borderId="0" xfId="57" applyFill="1" applyAlignment="1">
      <alignment wrapText="1"/>
      <protection/>
    </xf>
    <xf numFmtId="0" fontId="69" fillId="0" borderId="0" xfId="57" applyFont="1" applyFill="1" applyBorder="1" applyAlignment="1" applyProtection="1">
      <alignment horizontal="center" vertical="center"/>
      <protection/>
    </xf>
    <xf numFmtId="0" fontId="50" fillId="0" borderId="11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/>
      <protection/>
    </xf>
    <xf numFmtId="0" fontId="66" fillId="0" borderId="12" xfId="57" applyFont="1" applyBorder="1">
      <alignment/>
      <protection/>
    </xf>
    <xf numFmtId="0" fontId="58" fillId="0" borderId="0" xfId="57" applyFont="1" applyFill="1" applyAlignment="1">
      <alignment vertical="center"/>
      <protection/>
    </xf>
    <xf numFmtId="0" fontId="1" fillId="0" borderId="12" xfId="57" applyBorder="1">
      <alignment/>
      <protection/>
    </xf>
    <xf numFmtId="0" fontId="1" fillId="0" borderId="12" xfId="57" applyFont="1" applyBorder="1">
      <alignment/>
      <protection/>
    </xf>
    <xf numFmtId="0" fontId="66" fillId="0" borderId="20" xfId="57" applyFont="1" applyBorder="1">
      <alignment/>
      <protection/>
    </xf>
    <xf numFmtId="0" fontId="66" fillId="0" borderId="32" xfId="57" applyFont="1" applyBorder="1">
      <alignment/>
      <protection/>
    </xf>
    <xf numFmtId="0" fontId="66" fillId="0" borderId="11" xfId="57" applyFont="1" applyBorder="1" applyAlignment="1">
      <alignment vertical="center"/>
      <protection/>
    </xf>
    <xf numFmtId="0" fontId="1" fillId="0" borderId="0" xfId="57" applyFill="1" applyAlignment="1">
      <alignment vertical="center"/>
      <protection/>
    </xf>
    <xf numFmtId="0" fontId="66" fillId="0" borderId="18" xfId="57" applyFont="1" applyBorder="1">
      <alignment/>
      <protection/>
    </xf>
    <xf numFmtId="0" fontId="66" fillId="0" borderId="11" xfId="57" applyFont="1" applyFill="1" applyBorder="1" applyAlignment="1">
      <alignment vertical="center"/>
      <protection/>
    </xf>
    <xf numFmtId="0" fontId="66" fillId="0" borderId="48" xfId="57" applyFont="1" applyFill="1" applyBorder="1">
      <alignment/>
      <protection/>
    </xf>
    <xf numFmtId="0" fontId="66" fillId="0" borderId="0" xfId="57" applyFont="1" applyFill="1">
      <alignment/>
      <protection/>
    </xf>
    <xf numFmtId="0" fontId="66" fillId="0" borderId="0" xfId="57" applyFont="1" applyFill="1" applyAlignment="1">
      <alignment vertical="center"/>
      <protection/>
    </xf>
    <xf numFmtId="0" fontId="66" fillId="0" borderId="11" xfId="57" applyFont="1" applyFill="1" applyBorder="1">
      <alignment/>
      <protection/>
    </xf>
    <xf numFmtId="0" fontId="70" fillId="0" borderId="36" xfId="57" applyFont="1" applyBorder="1" applyAlignment="1">
      <alignment vertical="center"/>
      <protection/>
    </xf>
    <xf numFmtId="0" fontId="1" fillId="0" borderId="0" xfId="57" applyFill="1" applyAlignment="1" applyProtection="1">
      <alignment vertical="center"/>
      <protection/>
    </xf>
    <xf numFmtId="0" fontId="1" fillId="0" borderId="0" xfId="57" applyFont="1" applyFill="1">
      <alignment/>
      <protection/>
    </xf>
    <xf numFmtId="0" fontId="50" fillId="0" borderId="16" xfId="57" applyFont="1" applyFill="1" applyBorder="1" applyAlignment="1" applyProtection="1">
      <alignment horizontal="center" vertical="center" wrapText="1"/>
      <protection/>
    </xf>
    <xf numFmtId="3" fontId="66" fillId="0" borderId="19" xfId="57" applyNumberFormat="1" applyFont="1" applyBorder="1" applyAlignment="1">
      <alignment horizontal="right"/>
      <protection/>
    </xf>
    <xf numFmtId="3" fontId="1" fillId="0" borderId="22" xfId="57" applyNumberFormat="1" applyFont="1" applyBorder="1" applyAlignment="1">
      <alignment horizontal="right"/>
      <protection/>
    </xf>
    <xf numFmtId="3" fontId="66" fillId="0" borderId="22" xfId="57" applyNumberFormat="1" applyFont="1" applyBorder="1" applyAlignment="1">
      <alignment horizontal="right"/>
      <protection/>
    </xf>
    <xf numFmtId="3" fontId="66" fillId="0" borderId="16" xfId="57" applyNumberFormat="1" applyFont="1" applyBorder="1" applyAlignment="1">
      <alignment horizontal="right" vertical="center"/>
      <protection/>
    </xf>
    <xf numFmtId="3" fontId="66" fillId="0" borderId="16" xfId="57" applyNumberFormat="1" applyFont="1" applyFill="1" applyBorder="1" applyAlignment="1">
      <alignment vertical="center"/>
      <protection/>
    </xf>
    <xf numFmtId="3" fontId="66" fillId="0" borderId="19" xfId="57" applyNumberFormat="1" applyFont="1" applyFill="1" applyBorder="1">
      <alignment/>
      <protection/>
    </xf>
    <xf numFmtId="3" fontId="1" fillId="0" borderId="22" xfId="57" applyNumberFormat="1" applyFont="1" applyFill="1" applyBorder="1">
      <alignment/>
      <protection/>
    </xf>
    <xf numFmtId="3" fontId="66" fillId="0" borderId="16" xfId="57" applyNumberFormat="1" applyFont="1" applyFill="1" applyBorder="1">
      <alignment/>
      <protection/>
    </xf>
    <xf numFmtId="3" fontId="66" fillId="0" borderId="22" xfId="57" applyNumberFormat="1" applyFont="1" applyBorder="1">
      <alignment/>
      <protection/>
    </xf>
    <xf numFmtId="3" fontId="66" fillId="0" borderId="25" xfId="57" applyNumberFormat="1" applyFont="1" applyBorder="1">
      <alignment/>
      <protection/>
    </xf>
    <xf numFmtId="3" fontId="70" fillId="0" borderId="13" xfId="57" applyNumberFormat="1" applyFont="1" applyBorder="1" applyAlignment="1">
      <alignment vertical="center"/>
      <protection/>
    </xf>
    <xf numFmtId="167" fontId="53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40" xfId="0" applyFont="1" applyFill="1" applyBorder="1" applyAlignment="1" applyProtection="1">
      <alignment horizontal="center" vertical="center" wrapText="1"/>
      <protection/>
    </xf>
    <xf numFmtId="49" fontId="45" fillId="0" borderId="27" xfId="61" applyNumberFormat="1" applyFont="1" applyFill="1" applyBorder="1" applyAlignment="1" applyProtection="1">
      <alignment horizontal="left" vertical="center" wrapText="1" indent="1"/>
      <protection/>
    </xf>
    <xf numFmtId="167" fontId="4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71" xfId="0" applyNumberFormat="1" applyFont="1" applyBorder="1" applyAlignment="1">
      <alignment horizontal="left"/>
    </xf>
    <xf numFmtId="49" fontId="7" fillId="0" borderId="59" xfId="0" applyNumberFormat="1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3" fillId="0" borderId="10" xfId="58" applyFont="1" applyBorder="1" applyAlignment="1">
      <alignment vertical="center" wrapText="1"/>
      <protection/>
    </xf>
    <xf numFmtId="49" fontId="7" fillId="0" borderId="36" xfId="0" applyNumberFormat="1" applyFont="1" applyBorder="1" applyAlignment="1">
      <alignment horizontal="left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left" vertical="center"/>
    </xf>
    <xf numFmtId="3" fontId="7" fillId="0" borderId="21" xfId="0" applyNumberFormat="1" applyFont="1" applyFill="1" applyBorder="1" applyAlignment="1">
      <alignment vertical="center"/>
    </xf>
    <xf numFmtId="0" fontId="66" fillId="0" borderId="12" xfId="57" applyFont="1" applyFill="1" applyBorder="1">
      <alignment/>
      <protection/>
    </xf>
    <xf numFmtId="3" fontId="66" fillId="0" borderId="22" xfId="57" applyNumberFormat="1" applyFont="1" applyFill="1" applyBorder="1">
      <alignment/>
      <protection/>
    </xf>
    <xf numFmtId="0" fontId="1" fillId="0" borderId="20" xfId="57" applyFont="1" applyFill="1" applyBorder="1">
      <alignment/>
      <protection/>
    </xf>
    <xf numFmtId="0" fontId="66" fillId="0" borderId="36" xfId="57" applyFont="1" applyFill="1" applyBorder="1">
      <alignment/>
      <protection/>
    </xf>
    <xf numFmtId="3" fontId="66" fillId="0" borderId="13" xfId="57" applyNumberFormat="1" applyFont="1" applyFill="1" applyBorder="1">
      <alignment/>
      <protection/>
    </xf>
    <xf numFmtId="3" fontId="66" fillId="0" borderId="13" xfId="57" applyNumberFormat="1" applyFont="1" applyBorder="1" applyAlignment="1">
      <alignment horizontal="right"/>
      <protection/>
    </xf>
    <xf numFmtId="0" fontId="15" fillId="0" borderId="12" xfId="58" applyFont="1" applyFill="1" applyBorder="1" applyAlignment="1">
      <alignment horizontal="right" wrapText="1"/>
      <protection/>
    </xf>
    <xf numFmtId="0" fontId="71" fillId="0" borderId="0" xfId="58" applyFont="1" applyAlignment="1">
      <alignment horizontal="right"/>
      <protection/>
    </xf>
    <xf numFmtId="0" fontId="72" fillId="0" borderId="0" xfId="58" applyFont="1" applyAlignment="1">
      <alignment horizontal="center"/>
      <protection/>
    </xf>
    <xf numFmtId="0" fontId="73" fillId="0" borderId="0" xfId="58" applyFont="1" applyAlignment="1">
      <alignment horizontal="center"/>
      <protection/>
    </xf>
    <xf numFmtId="0" fontId="19" fillId="0" borderId="0" xfId="58" applyFont="1" applyAlignment="1">
      <alignment horizontal="center"/>
      <protection/>
    </xf>
    <xf numFmtId="0" fontId="19" fillId="0" borderId="0" xfId="60">
      <alignment/>
      <protection/>
    </xf>
    <xf numFmtId="0" fontId="71" fillId="0" borderId="0" xfId="58" applyFont="1">
      <alignment/>
      <protection/>
    </xf>
    <xf numFmtId="3" fontId="11" fillId="0" borderId="0" xfId="58" applyNumberFormat="1">
      <alignment/>
      <protection/>
    </xf>
    <xf numFmtId="0" fontId="13" fillId="0" borderId="38" xfId="58" applyFont="1" applyBorder="1" applyAlignment="1">
      <alignment horizontal="center" vertical="center" wrapText="1"/>
      <protection/>
    </xf>
    <xf numFmtId="0" fontId="11" fillId="0" borderId="48" xfId="58" applyBorder="1" applyAlignment="1">
      <alignment vertical="center" wrapText="1"/>
      <protection/>
    </xf>
    <xf numFmtId="0" fontId="11" fillId="0" borderId="0" xfId="58" applyAlignment="1">
      <alignment vertical="center" wrapText="1"/>
      <protection/>
    </xf>
    <xf numFmtId="0" fontId="13" fillId="0" borderId="40" xfId="58" applyFont="1" applyBorder="1" applyAlignment="1">
      <alignment horizontal="center" vertical="center" wrapText="1"/>
      <protection/>
    </xf>
    <xf numFmtId="166" fontId="74" fillId="0" borderId="60" xfId="60" applyNumberFormat="1" applyFont="1" applyBorder="1" applyAlignment="1">
      <alignment horizontal="center" vertical="center" wrapText="1"/>
      <protection/>
    </xf>
    <xf numFmtId="3" fontId="74" fillId="0" borderId="44" xfId="60" applyNumberFormat="1" applyFont="1" applyBorder="1" applyAlignment="1">
      <alignment horizontal="center" vertical="center" wrapText="1"/>
      <protection/>
    </xf>
    <xf numFmtId="3" fontId="74" fillId="0" borderId="37" xfId="60" applyNumberFormat="1" applyFont="1" applyBorder="1" applyAlignment="1">
      <alignment horizontal="center" vertical="center" wrapText="1"/>
      <protection/>
    </xf>
    <xf numFmtId="3" fontId="74" fillId="0" borderId="49" xfId="60" applyNumberFormat="1" applyFont="1" applyBorder="1" applyAlignment="1">
      <alignment horizontal="center" vertical="center" wrapText="1"/>
      <protection/>
    </xf>
    <xf numFmtId="3" fontId="76" fillId="0" borderId="15" xfId="60" applyNumberFormat="1" applyFont="1" applyFill="1" applyBorder="1" applyAlignment="1">
      <alignment vertical="top"/>
      <protection/>
    </xf>
    <xf numFmtId="3" fontId="76" fillId="0" borderId="17" xfId="60" applyNumberFormat="1" applyFont="1" applyFill="1" applyBorder="1" applyAlignment="1">
      <alignment vertical="top"/>
      <protection/>
    </xf>
    <xf numFmtId="10" fontId="76" fillId="0" borderId="41" xfId="60" applyNumberFormat="1" applyFont="1" applyFill="1" applyBorder="1" applyAlignment="1">
      <alignment vertical="top"/>
      <protection/>
    </xf>
    <xf numFmtId="3" fontId="76" fillId="0" borderId="41" xfId="60" applyNumberFormat="1" applyFont="1" applyFill="1" applyBorder="1" applyAlignment="1">
      <alignment vertical="top"/>
      <protection/>
    </xf>
    <xf numFmtId="0" fontId="75" fillId="0" borderId="30" xfId="60" applyFont="1" applyFill="1" applyBorder="1" applyAlignment="1">
      <alignment horizontal="left"/>
      <protection/>
    </xf>
    <xf numFmtId="3" fontId="76" fillId="0" borderId="12" xfId="60" applyNumberFormat="1" applyFont="1" applyFill="1" applyBorder="1" applyAlignment="1">
      <alignment vertical="top"/>
      <protection/>
    </xf>
    <xf numFmtId="3" fontId="76" fillId="0" borderId="22" xfId="60" applyNumberFormat="1" applyFont="1" applyFill="1" applyBorder="1" applyAlignment="1">
      <alignment vertical="top"/>
      <protection/>
    </xf>
    <xf numFmtId="10" fontId="76" fillId="0" borderId="23" xfId="60" applyNumberFormat="1" applyFont="1" applyFill="1" applyBorder="1" applyAlignment="1">
      <alignment vertical="top"/>
      <protection/>
    </xf>
    <xf numFmtId="3" fontId="76" fillId="0" borderId="23" xfId="60" applyNumberFormat="1" applyFont="1" applyFill="1" applyBorder="1" applyAlignment="1">
      <alignment vertical="top"/>
      <protection/>
    </xf>
    <xf numFmtId="3" fontId="76" fillId="0" borderId="12" xfId="60" applyNumberFormat="1" applyFont="1" applyFill="1" applyBorder="1">
      <alignment/>
      <protection/>
    </xf>
    <xf numFmtId="3" fontId="76" fillId="0" borderId="22" xfId="60" applyNumberFormat="1" applyFont="1" applyFill="1" applyBorder="1">
      <alignment/>
      <protection/>
    </xf>
    <xf numFmtId="3" fontId="76" fillId="0" borderId="23" xfId="60" applyNumberFormat="1" applyFont="1" applyFill="1" applyBorder="1">
      <alignment/>
      <protection/>
    </xf>
    <xf numFmtId="0" fontId="11" fillId="0" borderId="21" xfId="58" applyFont="1" applyBorder="1" applyAlignment="1">
      <alignment horizontal="center" vertical="center"/>
      <protection/>
    </xf>
    <xf numFmtId="3" fontId="76" fillId="0" borderId="21" xfId="60" applyNumberFormat="1" applyFont="1" applyFill="1" applyBorder="1">
      <alignment/>
      <protection/>
    </xf>
    <xf numFmtId="3" fontId="76" fillId="0" borderId="13" xfId="60" applyNumberFormat="1" applyFont="1" applyFill="1" applyBorder="1">
      <alignment/>
      <protection/>
    </xf>
    <xf numFmtId="3" fontId="76" fillId="0" borderId="14" xfId="60" applyNumberFormat="1" applyFont="1" applyFill="1" applyBorder="1">
      <alignment/>
      <protection/>
    </xf>
    <xf numFmtId="0" fontId="11" fillId="0" borderId="38" xfId="58" applyFont="1" applyBorder="1" applyAlignment="1">
      <alignment horizontal="center" vertical="center"/>
      <protection/>
    </xf>
    <xf numFmtId="3" fontId="77" fillId="0" borderId="38" xfId="60" applyNumberFormat="1" applyFont="1" applyBorder="1" applyAlignment="1">
      <alignment vertical="center"/>
      <protection/>
    </xf>
    <xf numFmtId="3" fontId="77" fillId="0" borderId="16" xfId="60" applyNumberFormat="1" applyFont="1" applyBorder="1" applyAlignment="1">
      <alignment vertical="center"/>
      <protection/>
    </xf>
    <xf numFmtId="10" fontId="77" fillId="0" borderId="39" xfId="60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0" fontId="79" fillId="0" borderId="0" xfId="58" applyFont="1" applyAlignment="1">
      <alignment vertical="center"/>
      <protection/>
    </xf>
    <xf numFmtId="0" fontId="80" fillId="0" borderId="48" xfId="58" applyFont="1" applyBorder="1" applyAlignment="1">
      <alignment vertical="center"/>
      <protection/>
    </xf>
    <xf numFmtId="0" fontId="23" fillId="34" borderId="27" xfId="58" applyFont="1" applyFill="1" applyBorder="1" applyAlignment="1">
      <alignment horizontal="center" vertical="center" wrapText="1"/>
      <protection/>
    </xf>
    <xf numFmtId="0" fontId="11" fillId="0" borderId="48" xfId="58" applyBorder="1" applyAlignment="1">
      <alignment vertical="center"/>
      <protection/>
    </xf>
    <xf numFmtId="0" fontId="23" fillId="34" borderId="32" xfId="58" applyFont="1" applyFill="1" applyBorder="1" applyAlignment="1">
      <alignment horizontal="center" vertical="center" wrapText="1"/>
      <protection/>
    </xf>
    <xf numFmtId="3" fontId="23" fillId="34" borderId="72" xfId="58" applyNumberFormat="1" applyFont="1" applyFill="1" applyBorder="1" applyAlignment="1">
      <alignment horizontal="center" vertical="center" wrapText="1"/>
      <protection/>
    </xf>
    <xf numFmtId="3" fontId="23" fillId="34" borderId="73" xfId="58" applyNumberFormat="1" applyFont="1" applyFill="1" applyBorder="1" applyAlignment="1">
      <alignment horizontal="center" vertical="center" wrapText="1"/>
      <protection/>
    </xf>
    <xf numFmtId="3" fontId="23" fillId="34" borderId="74" xfId="58" applyNumberFormat="1" applyFont="1" applyFill="1" applyBorder="1" applyAlignment="1">
      <alignment horizontal="center" vertical="center" wrapText="1"/>
      <protection/>
    </xf>
    <xf numFmtId="0" fontId="75" fillId="0" borderId="20" xfId="0" applyFont="1" applyBorder="1" applyAlignment="1">
      <alignment vertical="center" wrapText="1"/>
    </xf>
    <xf numFmtId="0" fontId="75" fillId="0" borderId="22" xfId="0" applyFont="1" applyBorder="1" applyAlignment="1">
      <alignment horizontal="center" vertical="center" wrapText="1"/>
    </xf>
    <xf numFmtId="3" fontId="32" fillId="0" borderId="22" xfId="58" applyNumberFormat="1" applyFont="1" applyBorder="1" applyAlignment="1">
      <alignment horizontal="right" vertical="center" wrapText="1"/>
      <protection/>
    </xf>
    <xf numFmtId="3" fontId="32" fillId="0" borderId="19" xfId="58" applyNumberFormat="1" applyFont="1" applyBorder="1" applyAlignment="1">
      <alignment horizontal="right" vertical="center" wrapText="1"/>
      <protection/>
    </xf>
    <xf numFmtId="10" fontId="32" fillId="0" borderId="19" xfId="58" applyNumberFormat="1" applyFont="1" applyBorder="1" applyAlignment="1">
      <alignment horizontal="right" vertical="center" wrapText="1"/>
      <protection/>
    </xf>
    <xf numFmtId="10" fontId="32" fillId="0" borderId="22" xfId="58" applyNumberFormat="1" applyFont="1" applyBorder="1" applyAlignment="1">
      <alignment horizontal="right" vertical="center" wrapText="1"/>
      <protection/>
    </xf>
    <xf numFmtId="10" fontId="32" fillId="0" borderId="23" xfId="58" applyNumberFormat="1" applyFont="1" applyBorder="1" applyAlignment="1">
      <alignment horizontal="right" vertical="center" wrapText="1"/>
      <protection/>
    </xf>
    <xf numFmtId="3" fontId="32" fillId="0" borderId="22" xfId="58" applyNumberFormat="1" applyFont="1" applyFill="1" applyBorder="1" applyAlignment="1">
      <alignment vertical="center"/>
      <protection/>
    </xf>
    <xf numFmtId="3" fontId="23" fillId="34" borderId="75" xfId="58" applyNumberFormat="1" applyFont="1" applyFill="1" applyBorder="1" applyAlignment="1">
      <alignment horizontal="center" vertical="center" wrapText="1"/>
      <protection/>
    </xf>
    <xf numFmtId="3" fontId="23" fillId="34" borderId="76" xfId="58" applyNumberFormat="1" applyFont="1" applyFill="1" applyBorder="1" applyAlignment="1">
      <alignment horizontal="center" vertical="center" wrapText="1"/>
      <protection/>
    </xf>
    <xf numFmtId="3" fontId="38" fillId="34" borderId="76" xfId="58" applyNumberFormat="1" applyFont="1" applyFill="1" applyBorder="1" applyAlignment="1">
      <alignment horizontal="right" vertical="center" wrapText="1"/>
      <protection/>
    </xf>
    <xf numFmtId="10" fontId="38" fillId="34" borderId="76" xfId="58" applyNumberFormat="1" applyFont="1" applyFill="1" applyBorder="1" applyAlignment="1">
      <alignment horizontal="right" vertical="center" wrapText="1"/>
      <protection/>
    </xf>
    <xf numFmtId="3" fontId="23" fillId="0" borderId="0" xfId="58" applyNumberFormat="1" applyFont="1" applyFill="1" applyBorder="1" applyAlignment="1">
      <alignment horizontal="center" vertical="center" wrapText="1"/>
      <protection/>
    </xf>
    <xf numFmtId="3" fontId="38" fillId="0" borderId="0" xfId="58" applyNumberFormat="1" applyFont="1" applyFill="1" applyBorder="1" applyAlignment="1">
      <alignment horizontal="right" vertical="center" wrapText="1"/>
      <protection/>
    </xf>
    <xf numFmtId="0" fontId="80" fillId="0" borderId="0" xfId="58" applyFont="1" applyAlignment="1">
      <alignment vertical="center"/>
      <protection/>
    </xf>
    <xf numFmtId="0" fontId="11" fillId="0" borderId="48" xfId="58" applyFill="1" applyBorder="1" applyAlignment="1">
      <alignment vertical="center"/>
      <protection/>
    </xf>
    <xf numFmtId="0" fontId="11" fillId="0" borderId="0" xfId="58" applyFill="1" applyAlignment="1">
      <alignment vertical="center"/>
      <protection/>
    </xf>
    <xf numFmtId="0" fontId="23" fillId="34" borderId="77" xfId="58" applyFont="1" applyFill="1" applyBorder="1" applyAlignment="1">
      <alignment horizontal="center" vertical="center" wrapText="1"/>
      <protection/>
    </xf>
    <xf numFmtId="0" fontId="23" fillId="34" borderId="73" xfId="58" applyFont="1" applyFill="1" applyBorder="1" applyAlignment="1">
      <alignment horizontal="center" vertical="center" wrapText="1"/>
      <protection/>
    </xf>
    <xf numFmtId="0" fontId="75" fillId="0" borderId="18" xfId="0" applyFont="1" applyFill="1" applyBorder="1" applyAlignment="1">
      <alignment vertical="center" wrapText="1"/>
    </xf>
    <xf numFmtId="0" fontId="75" fillId="0" borderId="19" xfId="0" applyFont="1" applyFill="1" applyBorder="1" applyAlignment="1">
      <alignment horizontal="center" vertical="center" wrapText="1"/>
    </xf>
    <xf numFmtId="3" fontId="32" fillId="0" borderId="19" xfId="58" applyNumberFormat="1" applyFont="1" applyFill="1" applyBorder="1" applyAlignment="1">
      <alignment horizontal="right" vertical="center" wrapText="1"/>
      <protection/>
    </xf>
    <xf numFmtId="3" fontId="32" fillId="0" borderId="22" xfId="58" applyNumberFormat="1" applyFont="1" applyFill="1" applyBorder="1" applyAlignment="1">
      <alignment horizontal="right" vertical="center" wrapText="1"/>
      <protection/>
    </xf>
    <xf numFmtId="0" fontId="75" fillId="0" borderId="20" xfId="0" applyFont="1" applyFill="1" applyBorder="1" applyAlignment="1">
      <alignment vertical="center" wrapText="1"/>
    </xf>
    <xf numFmtId="0" fontId="75" fillId="0" borderId="22" xfId="0" applyFont="1" applyFill="1" applyBorder="1" applyAlignment="1">
      <alignment horizontal="center" vertical="center" wrapText="1"/>
    </xf>
    <xf numFmtId="0" fontId="75" fillId="0" borderId="78" xfId="0" applyFont="1" applyFill="1" applyBorder="1" applyAlignment="1">
      <alignment vertical="center" wrapText="1"/>
    </xf>
    <xf numFmtId="0" fontId="75" fillId="0" borderId="25" xfId="0" applyFont="1" applyFill="1" applyBorder="1" applyAlignment="1">
      <alignment horizontal="center" vertical="center" wrapText="1"/>
    </xf>
    <xf numFmtId="3" fontId="32" fillId="0" borderId="25" xfId="58" applyNumberFormat="1" applyFont="1" applyFill="1" applyBorder="1" applyAlignment="1">
      <alignment horizontal="right" vertical="center" wrapText="1"/>
      <protection/>
    </xf>
    <xf numFmtId="0" fontId="75" fillId="0" borderId="48" xfId="0" applyFont="1" applyFill="1" applyBorder="1" applyAlignment="1">
      <alignment vertical="center" wrapText="1"/>
    </xf>
    <xf numFmtId="0" fontId="75" fillId="0" borderId="27" xfId="0" applyFont="1" applyFill="1" applyBorder="1" applyAlignment="1">
      <alignment horizontal="center" vertical="center" wrapText="1"/>
    </xf>
    <xf numFmtId="3" fontId="32" fillId="0" borderId="27" xfId="58" applyNumberFormat="1" applyFont="1" applyFill="1" applyBorder="1" applyAlignment="1">
      <alignment horizontal="right" vertical="center" wrapText="1"/>
      <protection/>
    </xf>
    <xf numFmtId="10" fontId="11" fillId="0" borderId="0" xfId="58" applyNumberFormat="1" applyAlignment="1">
      <alignment vertical="center"/>
      <protection/>
    </xf>
    <xf numFmtId="0" fontId="29" fillId="0" borderId="0" xfId="61" applyFont="1" applyFill="1" applyAlignment="1">
      <alignment vertical="center"/>
      <protection/>
    </xf>
    <xf numFmtId="167" fontId="27" fillId="0" borderId="0" xfId="61" applyNumberFormat="1" applyFont="1" applyFill="1" applyBorder="1" applyAlignment="1" applyProtection="1">
      <alignment horizontal="centerContinuous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46" fillId="0" borderId="15" xfId="61" applyFont="1" applyFill="1" applyBorder="1" applyAlignment="1" applyProtection="1">
      <alignment horizontal="center" vertical="center" wrapText="1"/>
      <protection/>
    </xf>
    <xf numFmtId="0" fontId="46" fillId="0" borderId="17" xfId="61" applyFont="1" applyFill="1" applyBorder="1" applyAlignment="1" applyProtection="1">
      <alignment horizontal="center" vertical="center" wrapText="1"/>
      <protection/>
    </xf>
    <xf numFmtId="0" fontId="46" fillId="0" borderId="41" xfId="61" applyFont="1" applyFill="1" applyBorder="1" applyAlignment="1" applyProtection="1">
      <alignment horizontal="center" vertical="center" wrapText="1"/>
      <protection/>
    </xf>
    <xf numFmtId="0" fontId="30" fillId="0" borderId="38" xfId="61" applyFont="1" applyFill="1" applyBorder="1" applyAlignment="1" applyProtection="1">
      <alignment horizontal="center" vertical="center"/>
      <protection/>
    </xf>
    <xf numFmtId="0" fontId="30" fillId="0" borderId="16" xfId="61" applyFont="1" applyFill="1" applyBorder="1" applyAlignment="1" applyProtection="1">
      <alignment horizontal="center" vertical="center"/>
      <protection/>
    </xf>
    <xf numFmtId="0" fontId="30" fillId="0" borderId="39" xfId="61" applyFont="1" applyFill="1" applyBorder="1" applyAlignment="1" applyProtection="1">
      <alignment horizontal="center" vertical="center"/>
      <protection/>
    </xf>
    <xf numFmtId="0" fontId="30" fillId="0" borderId="15" xfId="61" applyFont="1" applyFill="1" applyBorder="1" applyAlignment="1" applyProtection="1">
      <alignment horizontal="center" vertical="center"/>
      <protection/>
    </xf>
    <xf numFmtId="0" fontId="30" fillId="0" borderId="19" xfId="61" applyFont="1" applyFill="1" applyBorder="1" applyAlignment="1" applyProtection="1">
      <alignment vertical="center"/>
      <protection/>
    </xf>
    <xf numFmtId="168" fontId="30" fillId="0" borderId="41" xfId="40" applyNumberFormat="1" applyFont="1" applyFill="1" applyBorder="1" applyAlignment="1" applyProtection="1">
      <alignment vertical="center"/>
      <protection locked="0"/>
    </xf>
    <xf numFmtId="0" fontId="30" fillId="0" borderId="24" xfId="61" applyFont="1" applyFill="1" applyBorder="1" applyAlignment="1" applyProtection="1">
      <alignment horizontal="center" vertical="center"/>
      <protection/>
    </xf>
    <xf numFmtId="168" fontId="30" fillId="0" borderId="51" xfId="40" applyNumberFormat="1" applyFont="1" applyFill="1" applyBorder="1" applyAlignment="1" applyProtection="1">
      <alignment vertical="center"/>
      <protection locked="0"/>
    </xf>
    <xf numFmtId="0" fontId="30" fillId="0" borderId="12" xfId="61" applyFont="1" applyFill="1" applyBorder="1" applyAlignment="1" applyProtection="1">
      <alignment horizontal="center" vertical="center"/>
      <protection/>
    </xf>
    <xf numFmtId="0" fontId="76" fillId="0" borderId="22" xfId="0" applyFont="1" applyFill="1" applyBorder="1" applyAlignment="1">
      <alignment horizontal="justify" vertical="center" wrapText="1"/>
    </xf>
    <xf numFmtId="168" fontId="30" fillId="0" borderId="23" xfId="40" applyNumberFormat="1" applyFont="1" applyFill="1" applyBorder="1" applyAlignment="1" applyProtection="1">
      <alignment vertical="center"/>
      <protection locked="0"/>
    </xf>
    <xf numFmtId="0" fontId="76" fillId="0" borderId="22" xfId="0" applyFont="1" applyFill="1" applyBorder="1" applyAlignment="1">
      <alignment vertical="center" wrapText="1"/>
    </xf>
    <xf numFmtId="168" fontId="30" fillId="0" borderId="52" xfId="40" applyNumberFormat="1" applyFont="1" applyFill="1" applyBorder="1" applyAlignment="1" applyProtection="1">
      <alignment vertical="center"/>
      <protection locked="0"/>
    </xf>
    <xf numFmtId="168" fontId="46" fillId="0" borderId="39" xfId="40" applyNumberFormat="1" applyFont="1" applyFill="1" applyBorder="1" applyAlignment="1" applyProtection="1">
      <alignment vertical="center"/>
      <protection/>
    </xf>
    <xf numFmtId="0" fontId="45" fillId="0" borderId="0" xfId="61" applyFont="1" applyFill="1" applyBorder="1" applyAlignment="1">
      <alignment horizontal="justify" vertical="center" wrapText="1"/>
      <protection/>
    </xf>
    <xf numFmtId="167" fontId="9" fillId="0" borderId="0" xfId="0" applyNumberFormat="1" applyFont="1" applyFill="1" applyAlignment="1">
      <alignment horizontal="left" vertical="center" wrapText="1"/>
    </xf>
    <xf numFmtId="10" fontId="3" fillId="0" borderId="16" xfId="0" applyNumberFormat="1" applyFont="1" applyFill="1" applyBorder="1" applyAlignment="1">
      <alignment vertical="center"/>
    </xf>
    <xf numFmtId="10" fontId="7" fillId="0" borderId="19" xfId="0" applyNumberFormat="1" applyFont="1" applyFill="1" applyBorder="1" applyAlignment="1">
      <alignment vertical="center"/>
    </xf>
    <xf numFmtId="10" fontId="3" fillId="0" borderId="16" xfId="0" applyNumberFormat="1" applyFont="1" applyBorder="1" applyAlignment="1">
      <alignment vertical="center"/>
    </xf>
    <xf numFmtId="10" fontId="39" fillId="0" borderId="16" xfId="0" applyNumberFormat="1" applyFont="1" applyFill="1" applyBorder="1" applyAlignment="1">
      <alignment vertical="center"/>
    </xf>
    <xf numFmtId="10" fontId="7" fillId="0" borderId="25" xfId="0" applyNumberFormat="1" applyFont="1" applyBorder="1" applyAlignment="1">
      <alignment vertical="center"/>
    </xf>
    <xf numFmtId="10" fontId="7" fillId="0" borderId="23" xfId="0" applyNumberFormat="1" applyFont="1" applyFill="1" applyBorder="1" applyAlignment="1">
      <alignment horizontal="right" vertical="center"/>
    </xf>
    <xf numFmtId="10" fontId="7" fillId="0" borderId="14" xfId="0" applyNumberFormat="1" applyFont="1" applyFill="1" applyBorder="1" applyAlignment="1">
      <alignment horizontal="right" vertical="center"/>
    </xf>
    <xf numFmtId="10" fontId="5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39" xfId="0" applyNumberFormat="1" applyFont="1" applyFill="1" applyBorder="1" applyAlignment="1">
      <alignment horizontal="right" vertical="center" wrapText="1"/>
    </xf>
    <xf numFmtId="10" fontId="3" fillId="33" borderId="39" xfId="0" applyNumberFormat="1" applyFont="1" applyFill="1" applyBorder="1" applyAlignment="1">
      <alignment horizontal="right" vertical="center" wrapText="1"/>
    </xf>
    <xf numFmtId="10" fontId="7" fillId="33" borderId="41" xfId="0" applyNumberFormat="1" applyFont="1" applyFill="1" applyBorder="1" applyAlignment="1">
      <alignment horizontal="right" vertical="center" wrapText="1"/>
    </xf>
    <xf numFmtId="10" fontId="7" fillId="33" borderId="23" xfId="0" applyNumberFormat="1" applyFont="1" applyFill="1" applyBorder="1" applyAlignment="1">
      <alignment horizontal="right" vertical="center" wrapText="1"/>
    </xf>
    <xf numFmtId="10" fontId="7" fillId="0" borderId="23" xfId="0" applyNumberFormat="1" applyFont="1" applyFill="1" applyBorder="1" applyAlignment="1">
      <alignment horizontal="right" vertical="center" wrapText="1"/>
    </xf>
    <xf numFmtId="10" fontId="7" fillId="0" borderId="14" xfId="0" applyNumberFormat="1" applyFont="1" applyFill="1" applyBorder="1" applyAlignment="1">
      <alignment horizontal="right" vertical="center" wrapText="1"/>
    </xf>
    <xf numFmtId="10" fontId="7" fillId="0" borderId="51" xfId="0" applyNumberFormat="1" applyFont="1" applyFill="1" applyBorder="1" applyAlignment="1">
      <alignment horizontal="right" vertical="center" wrapText="1"/>
    </xf>
    <xf numFmtId="10" fontId="3" fillId="0" borderId="39" xfId="0" applyNumberFormat="1" applyFont="1" applyFill="1" applyBorder="1" applyAlignment="1">
      <alignment horizontal="right" vertical="center"/>
    </xf>
    <xf numFmtId="10" fontId="3" fillId="0" borderId="41" xfId="0" applyNumberFormat="1" applyFont="1" applyFill="1" applyBorder="1" applyAlignment="1">
      <alignment horizontal="right" vertical="center"/>
    </xf>
    <xf numFmtId="10" fontId="3" fillId="0" borderId="23" xfId="0" applyNumberFormat="1" applyFont="1" applyFill="1" applyBorder="1" applyAlignment="1">
      <alignment horizontal="right" vertical="center"/>
    </xf>
    <xf numFmtId="10" fontId="3" fillId="0" borderId="14" xfId="0" applyNumberFormat="1" applyFont="1" applyFill="1" applyBorder="1" applyAlignment="1">
      <alignment horizontal="right" vertical="center"/>
    </xf>
    <xf numFmtId="10" fontId="7" fillId="0" borderId="51" xfId="0" applyNumberFormat="1" applyFont="1" applyFill="1" applyBorder="1" applyAlignment="1">
      <alignment horizontal="right" vertical="center"/>
    </xf>
    <xf numFmtId="10" fontId="3" fillId="0" borderId="23" xfId="0" applyNumberFormat="1" applyFont="1" applyFill="1" applyBorder="1" applyAlignment="1">
      <alignment vertical="center"/>
    </xf>
    <xf numFmtId="10" fontId="3" fillId="0" borderId="39" xfId="0" applyNumberFormat="1" applyFont="1" applyFill="1" applyBorder="1" applyAlignment="1">
      <alignment vertical="center"/>
    </xf>
    <xf numFmtId="10" fontId="3" fillId="0" borderId="51" xfId="0" applyNumberFormat="1" applyFont="1" applyFill="1" applyBorder="1" applyAlignment="1">
      <alignment vertical="center"/>
    </xf>
    <xf numFmtId="10" fontId="7" fillId="0" borderId="52" xfId="0" applyNumberFormat="1" applyFont="1" applyFill="1" applyBorder="1" applyAlignment="1">
      <alignment vertical="center"/>
    </xf>
    <xf numFmtId="10" fontId="7" fillId="0" borderId="23" xfId="0" applyNumberFormat="1" applyFont="1" applyFill="1" applyBorder="1" applyAlignment="1">
      <alignment vertical="center"/>
    </xf>
    <xf numFmtId="10" fontId="3" fillId="0" borderId="39" xfId="0" applyNumberFormat="1" applyFont="1" applyBorder="1" applyAlignment="1">
      <alignment vertical="center"/>
    </xf>
    <xf numFmtId="10" fontId="3" fillId="0" borderId="45" xfId="0" applyNumberFormat="1" applyFont="1" applyFill="1" applyBorder="1" applyAlignment="1">
      <alignment horizontal="centerContinuous" vertical="center" wrapText="1"/>
    </xf>
    <xf numFmtId="10" fontId="7" fillId="0" borderId="51" xfId="0" applyNumberFormat="1" applyFont="1" applyFill="1" applyBorder="1" applyAlignment="1">
      <alignment vertical="center"/>
    </xf>
    <xf numFmtId="10" fontId="39" fillId="0" borderId="39" xfId="0" applyNumberFormat="1" applyFont="1" applyFill="1" applyBorder="1" applyAlignment="1">
      <alignment vertical="center"/>
    </xf>
    <xf numFmtId="0" fontId="4" fillId="0" borderId="40" xfId="0" applyFont="1" applyBorder="1" applyAlignment="1">
      <alignment vertical="center"/>
    </xf>
    <xf numFmtId="10" fontId="7" fillId="0" borderId="52" xfId="0" applyNumberFormat="1" applyFont="1" applyBorder="1" applyAlignment="1">
      <alignment vertical="center"/>
    </xf>
    <xf numFmtId="10" fontId="3" fillId="0" borderId="49" xfId="0" applyNumberFormat="1" applyFont="1" applyBorder="1" applyAlignment="1">
      <alignment vertical="center"/>
    </xf>
    <xf numFmtId="167" fontId="45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0" xfId="0" applyFill="1" applyBorder="1" applyAlignment="1" applyProtection="1">
      <alignment horizontal="right" vertical="center" wrapText="1" indent="1"/>
      <protection/>
    </xf>
    <xf numFmtId="10" fontId="4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81" xfId="0" applyNumberFormat="1" applyFont="1" applyFill="1" applyBorder="1" applyAlignment="1" applyProtection="1">
      <alignment horizontal="center" vertical="center" wrapText="1"/>
      <protection/>
    </xf>
    <xf numFmtId="167" fontId="45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0" xfId="0" applyFont="1" applyFill="1" applyBorder="1" applyAlignment="1" applyProtection="1">
      <alignment horizontal="right" vertical="center" wrapText="1" indent="1"/>
      <protection/>
    </xf>
    <xf numFmtId="167" fontId="49" fillId="0" borderId="53" xfId="0" applyNumberFormat="1" applyFont="1" applyFill="1" applyBorder="1" applyAlignment="1" applyProtection="1">
      <alignment horizontal="center" vertical="center" wrapText="1"/>
      <protection/>
    </xf>
    <xf numFmtId="3" fontId="12" fillId="0" borderId="16" xfId="58" applyNumberFormat="1" applyFont="1" applyFill="1" applyBorder="1" applyAlignment="1">
      <alignment horizontal="right" vertical="center"/>
      <protection/>
    </xf>
    <xf numFmtId="10" fontId="12" fillId="0" borderId="39" xfId="58" applyNumberFormat="1" applyFont="1" applyFill="1" applyBorder="1" applyAlignment="1">
      <alignment horizontal="right" vertical="center"/>
      <protection/>
    </xf>
    <xf numFmtId="3" fontId="15" fillId="0" borderId="22" xfId="58" applyNumberFormat="1" applyFont="1" applyFill="1" applyBorder="1" applyAlignment="1">
      <alignment vertical="center"/>
      <protection/>
    </xf>
    <xf numFmtId="0" fontId="6" fillId="1" borderId="34" xfId="58" applyFont="1" applyFill="1" applyBorder="1" applyAlignment="1">
      <alignment horizontal="center" vertical="center"/>
      <protection/>
    </xf>
    <xf numFmtId="0" fontId="0" fillId="0" borderId="64" xfId="58" applyFont="1" applyFill="1" applyBorder="1" applyAlignment="1">
      <alignment horizontal="center" vertical="center"/>
      <protection/>
    </xf>
    <xf numFmtId="0" fontId="2" fillId="0" borderId="31" xfId="58" applyFont="1" applyBorder="1" applyAlignment="1">
      <alignment horizontal="center" vertical="center"/>
      <protection/>
    </xf>
    <xf numFmtId="0" fontId="2" fillId="0" borderId="58" xfId="58" applyFont="1" applyBorder="1" applyAlignment="1">
      <alignment horizontal="center" vertical="center"/>
      <protection/>
    </xf>
    <xf numFmtId="0" fontId="0" fillId="0" borderId="58" xfId="58" applyFont="1" applyFill="1" applyBorder="1" applyAlignment="1">
      <alignment horizontal="center" vertical="center"/>
      <protection/>
    </xf>
    <xf numFmtId="0" fontId="6" fillId="0" borderId="54" xfId="58" applyFont="1" applyBorder="1" applyAlignment="1">
      <alignment vertical="center"/>
      <protection/>
    </xf>
    <xf numFmtId="0" fontId="6" fillId="1" borderId="38" xfId="58" applyFont="1" applyFill="1" applyBorder="1" applyAlignment="1">
      <alignment horizontal="center" vertical="center" wrapText="1"/>
      <protection/>
    </xf>
    <xf numFmtId="3" fontId="7" fillId="0" borderId="15" xfId="58" applyNumberFormat="1" applyFont="1" applyFill="1" applyBorder="1" applyAlignment="1">
      <alignment horizontal="right" vertical="center"/>
      <protection/>
    </xf>
    <xf numFmtId="3" fontId="7" fillId="0" borderId="24" xfId="58" applyNumberFormat="1" applyFont="1" applyBorder="1" applyAlignment="1">
      <alignment horizontal="right" vertical="center"/>
      <protection/>
    </xf>
    <xf numFmtId="3" fontId="7" fillId="0" borderId="12" xfId="58" applyNumberFormat="1" applyFont="1" applyBorder="1" applyAlignment="1">
      <alignment horizontal="right" vertical="center"/>
      <protection/>
    </xf>
    <xf numFmtId="3" fontId="7" fillId="0" borderId="12" xfId="58" applyNumberFormat="1" applyFont="1" applyFill="1" applyBorder="1" applyAlignment="1">
      <alignment horizontal="right" vertical="center"/>
      <protection/>
    </xf>
    <xf numFmtId="3" fontId="3" fillId="0" borderId="38" xfId="58" applyNumberFormat="1" applyFont="1" applyBorder="1" applyAlignment="1">
      <alignment vertical="center"/>
      <protection/>
    </xf>
    <xf numFmtId="10" fontId="76" fillId="0" borderId="14" xfId="60" applyNumberFormat="1" applyFont="1" applyFill="1" applyBorder="1" applyAlignment="1">
      <alignment vertical="top"/>
      <protection/>
    </xf>
    <xf numFmtId="10" fontId="41" fillId="0" borderId="58" xfId="58" applyNumberFormat="1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3" fontId="18" fillId="0" borderId="85" xfId="40" applyNumberFormat="1" applyFont="1" applyBorder="1" applyAlignment="1">
      <alignment horizontal="right" vertical="center"/>
    </xf>
    <xf numFmtId="3" fontId="18" fillId="0" borderId="85" xfId="58" applyNumberFormat="1" applyFont="1" applyBorder="1" applyAlignment="1">
      <alignment horizontal="right"/>
      <protection/>
    </xf>
    <xf numFmtId="3" fontId="18" fillId="0" borderId="86" xfId="58" applyNumberFormat="1" applyFont="1" applyBorder="1" applyAlignment="1">
      <alignment horizontal="right"/>
      <protection/>
    </xf>
    <xf numFmtId="10" fontId="18" fillId="0" borderId="14" xfId="58" applyNumberFormat="1" applyFont="1" applyFill="1" applyBorder="1" applyAlignment="1">
      <alignment horizontal="right"/>
      <protection/>
    </xf>
    <xf numFmtId="3" fontId="1" fillId="0" borderId="25" xfId="57" applyNumberFormat="1" applyFont="1" applyBorder="1">
      <alignment/>
      <protection/>
    </xf>
    <xf numFmtId="3" fontId="30" fillId="0" borderId="0" xfId="62" applyNumberFormat="1" applyFill="1" applyProtection="1">
      <alignment/>
      <protection/>
    </xf>
    <xf numFmtId="3" fontId="30" fillId="0" borderId="0" xfId="62" applyNumberFormat="1" applyFill="1" applyAlignment="1" applyProtection="1">
      <alignment wrapText="1"/>
      <protection locked="0"/>
    </xf>
    <xf numFmtId="3" fontId="30" fillId="0" borderId="0" xfId="62" applyNumberFormat="1" applyFill="1" applyProtection="1">
      <alignment/>
      <protection locked="0"/>
    </xf>
    <xf numFmtId="3" fontId="31" fillId="0" borderId="0" xfId="57" applyNumberFormat="1" applyFont="1" applyFill="1" applyAlignment="1">
      <alignment horizontal="right"/>
      <protection/>
    </xf>
    <xf numFmtId="3" fontId="49" fillId="0" borderId="44" xfId="62" applyNumberFormat="1" applyFont="1" applyFill="1" applyBorder="1" applyAlignment="1" applyProtection="1">
      <alignment horizontal="center" vertical="center" wrapText="1"/>
      <protection/>
    </xf>
    <xf numFmtId="3" fontId="49" fillId="0" borderId="37" xfId="62" applyNumberFormat="1" applyFont="1" applyFill="1" applyBorder="1" applyAlignment="1" applyProtection="1">
      <alignment horizontal="center" vertical="center" wrapText="1"/>
      <protection/>
    </xf>
    <xf numFmtId="3" fontId="49" fillId="0" borderId="37" xfId="62" applyNumberFormat="1" applyFont="1" applyFill="1" applyBorder="1" applyAlignment="1" applyProtection="1">
      <alignment horizontal="center" vertical="center"/>
      <protection/>
    </xf>
    <xf numFmtId="3" fontId="49" fillId="0" borderId="49" xfId="62" applyNumberFormat="1" applyFont="1" applyFill="1" applyBorder="1" applyAlignment="1" applyProtection="1">
      <alignment horizontal="center" vertical="center"/>
      <protection/>
    </xf>
    <xf numFmtId="3" fontId="45" fillId="0" borderId="38" xfId="62" applyNumberFormat="1" applyFont="1" applyFill="1" applyBorder="1" applyAlignment="1" applyProtection="1">
      <alignment horizontal="left" vertical="center" indent="1"/>
      <protection/>
    </xf>
    <xf numFmtId="3" fontId="30" fillId="0" borderId="0" xfId="62" applyNumberFormat="1" applyFill="1" applyAlignment="1" applyProtection="1">
      <alignment vertical="center"/>
      <protection/>
    </xf>
    <xf numFmtId="3" fontId="45" fillId="0" borderId="40" xfId="62" applyNumberFormat="1" applyFont="1" applyFill="1" applyBorder="1" applyAlignment="1" applyProtection="1">
      <alignment horizontal="left" vertical="center" indent="1"/>
      <protection/>
    </xf>
    <xf numFmtId="3" fontId="45" fillId="0" borderId="27" xfId="62" applyNumberFormat="1" applyFont="1" applyFill="1" applyBorder="1" applyAlignment="1" applyProtection="1">
      <alignment horizontal="left" vertical="center" wrapText="1"/>
      <protection/>
    </xf>
    <xf numFmtId="3" fontId="45" fillId="0" borderId="27" xfId="62" applyNumberFormat="1" applyFont="1" applyFill="1" applyBorder="1" applyAlignment="1" applyProtection="1">
      <alignment vertical="center"/>
      <protection locked="0"/>
    </xf>
    <xf numFmtId="3" fontId="45" fillId="0" borderId="53" xfId="62" applyNumberFormat="1" applyFont="1" applyFill="1" applyBorder="1" applyAlignment="1" applyProtection="1">
      <alignment vertical="center"/>
      <protection/>
    </xf>
    <xf numFmtId="3" fontId="45" fillId="0" borderId="12" xfId="62" applyNumberFormat="1" applyFont="1" applyFill="1" applyBorder="1" applyAlignment="1" applyProtection="1">
      <alignment horizontal="left" vertical="center" indent="1"/>
      <protection/>
    </xf>
    <xf numFmtId="3" fontId="45" fillId="0" borderId="22" xfId="62" applyNumberFormat="1" applyFont="1" applyFill="1" applyBorder="1" applyAlignment="1" applyProtection="1">
      <alignment horizontal="left" vertical="center" wrapText="1"/>
      <protection/>
    </xf>
    <xf numFmtId="3" fontId="45" fillId="0" borderId="22" xfId="62" applyNumberFormat="1" applyFont="1" applyFill="1" applyBorder="1" applyAlignment="1" applyProtection="1">
      <alignment vertical="center"/>
      <protection locked="0"/>
    </xf>
    <xf numFmtId="3" fontId="45" fillId="0" borderId="23" xfId="62" applyNumberFormat="1" applyFont="1" applyFill="1" applyBorder="1" applyAlignment="1" applyProtection="1">
      <alignment vertical="center"/>
      <protection/>
    </xf>
    <xf numFmtId="3" fontId="30" fillId="0" borderId="0" xfId="62" applyNumberFormat="1" applyFill="1" applyAlignment="1" applyProtection="1">
      <alignment vertical="center"/>
      <protection locked="0"/>
    </xf>
    <xf numFmtId="3" fontId="45" fillId="0" borderId="19" xfId="62" applyNumberFormat="1" applyFont="1" applyFill="1" applyBorder="1" applyAlignment="1" applyProtection="1">
      <alignment horizontal="left" vertical="center" wrapText="1"/>
      <protection/>
    </xf>
    <xf numFmtId="3" fontId="45" fillId="0" borderId="19" xfId="62" applyNumberFormat="1" applyFont="1" applyFill="1" applyBorder="1" applyAlignment="1" applyProtection="1">
      <alignment vertical="center"/>
      <protection locked="0"/>
    </xf>
    <xf numFmtId="3" fontId="49" fillId="0" borderId="16" xfId="62" applyNumberFormat="1" applyFont="1" applyFill="1" applyBorder="1" applyAlignment="1" applyProtection="1">
      <alignment horizontal="left" vertical="center" wrapText="1"/>
      <protection/>
    </xf>
    <xf numFmtId="3" fontId="53" fillId="0" borderId="16" xfId="62" applyNumberFormat="1" applyFont="1" applyFill="1" applyBorder="1" applyAlignment="1" applyProtection="1">
      <alignment vertical="center"/>
      <protection/>
    </xf>
    <xf numFmtId="3" fontId="53" fillId="0" borderId="39" xfId="62" applyNumberFormat="1" applyFont="1" applyFill="1" applyBorder="1" applyAlignment="1" applyProtection="1">
      <alignment vertical="center"/>
      <protection/>
    </xf>
    <xf numFmtId="3" fontId="45" fillId="0" borderId="51" xfId="62" applyNumberFormat="1" applyFont="1" applyFill="1" applyBorder="1" applyAlignment="1" applyProtection="1">
      <alignment vertical="center"/>
      <protection/>
    </xf>
    <xf numFmtId="3" fontId="49" fillId="0" borderId="16" xfId="62" applyNumberFormat="1" applyFont="1" applyFill="1" applyBorder="1" applyAlignment="1" applyProtection="1">
      <alignment horizontal="left" wrapText="1"/>
      <protection/>
    </xf>
    <xf numFmtId="3" fontId="53" fillId="0" borderId="16" xfId="62" applyNumberFormat="1" applyFont="1" applyFill="1" applyBorder="1" applyProtection="1">
      <alignment/>
      <protection/>
    </xf>
    <xf numFmtId="3" fontId="53" fillId="0" borderId="39" xfId="62" applyNumberFormat="1" applyFont="1" applyFill="1" applyBorder="1" applyProtection="1">
      <alignment/>
      <protection/>
    </xf>
    <xf numFmtId="3" fontId="59" fillId="0" borderId="0" xfId="62" applyNumberFormat="1" applyFont="1" applyFill="1" applyProtection="1">
      <alignment/>
      <protection/>
    </xf>
    <xf numFmtId="3" fontId="27" fillId="0" borderId="0" xfId="62" applyNumberFormat="1" applyFont="1" applyFill="1" applyAlignment="1" applyProtection="1">
      <alignment wrapText="1"/>
      <protection locked="0"/>
    </xf>
    <xf numFmtId="3" fontId="46" fillId="0" borderId="0" xfId="62" applyNumberFormat="1" applyFont="1" applyFill="1" applyProtection="1">
      <alignment/>
      <protection locked="0"/>
    </xf>
    <xf numFmtId="3" fontId="3" fillId="0" borderId="3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39" fillId="0" borderId="39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horizontal="right" vertical="center"/>
    </xf>
    <xf numFmtId="3" fontId="7" fillId="0" borderId="52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0" fontId="12" fillId="1" borderId="23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3" fontId="66" fillId="0" borderId="42" xfId="57" applyNumberFormat="1" applyFont="1" applyBorder="1" applyAlignment="1">
      <alignment horizontal="right"/>
      <protection/>
    </xf>
    <xf numFmtId="0" fontId="66" fillId="0" borderId="56" xfId="57" applyFont="1" applyFill="1" applyBorder="1">
      <alignment/>
      <protection/>
    </xf>
    <xf numFmtId="3" fontId="66" fillId="0" borderId="42" xfId="57" applyNumberFormat="1" applyFont="1" applyFill="1" applyBorder="1">
      <alignment/>
      <protection/>
    </xf>
    <xf numFmtId="0" fontId="12" fillId="1" borderId="69" xfId="58" applyFont="1" applyFill="1" applyBorder="1" applyAlignment="1">
      <alignment horizontal="center" vertical="center" wrapText="1"/>
      <protection/>
    </xf>
    <xf numFmtId="0" fontId="12" fillId="1" borderId="69" xfId="58" applyFont="1" applyFill="1" applyBorder="1" applyAlignment="1">
      <alignment horizontal="center" vertical="center"/>
      <protection/>
    </xf>
    <xf numFmtId="3" fontId="11" fillId="0" borderId="48" xfId="58" applyNumberFormat="1" applyFont="1" applyBorder="1">
      <alignment/>
      <protection/>
    </xf>
    <xf numFmtId="167" fontId="49" fillId="0" borderId="87" xfId="0" applyNumberFormat="1" applyFont="1" applyFill="1" applyBorder="1" applyAlignment="1" applyProtection="1">
      <alignment horizontal="center" vertical="center" wrapText="1"/>
      <protection/>
    </xf>
    <xf numFmtId="167" fontId="49" fillId="0" borderId="63" xfId="0" applyNumberFormat="1" applyFont="1" applyFill="1" applyBorder="1" applyAlignment="1" applyProtection="1">
      <alignment horizontal="center" vertical="center" wrapText="1"/>
      <protection/>
    </xf>
    <xf numFmtId="10" fontId="7" fillId="0" borderId="22" xfId="0" applyNumberFormat="1" applyFont="1" applyBorder="1" applyAlignment="1">
      <alignment vertical="center"/>
    </xf>
    <xf numFmtId="10" fontId="7" fillId="0" borderId="22" xfId="0" applyNumberFormat="1" applyFont="1" applyFill="1" applyBorder="1" applyAlignment="1">
      <alignment vertical="center"/>
    </xf>
    <xf numFmtId="10" fontId="7" fillId="0" borderId="27" xfId="0" applyNumberFormat="1" applyFont="1" applyBorder="1" applyAlignment="1">
      <alignment vertical="center"/>
    </xf>
    <xf numFmtId="10" fontId="7" fillId="0" borderId="25" xfId="0" applyNumberFormat="1" applyFont="1" applyFill="1" applyBorder="1" applyAlignment="1">
      <alignment vertical="center"/>
    </xf>
    <xf numFmtId="10" fontId="4" fillId="0" borderId="27" xfId="0" applyNumberFormat="1" applyFont="1" applyBorder="1" applyAlignment="1">
      <alignment vertical="center"/>
    </xf>
    <xf numFmtId="10" fontId="7" fillId="0" borderId="13" xfId="0" applyNumberFormat="1" applyFont="1" applyFill="1" applyBorder="1" applyAlignment="1">
      <alignment vertical="center"/>
    </xf>
    <xf numFmtId="10" fontId="32" fillId="0" borderId="87" xfId="58" applyNumberFormat="1" applyFont="1" applyBorder="1" applyAlignment="1">
      <alignment horizontal="right" vertical="center" wrapText="1"/>
      <protection/>
    </xf>
    <xf numFmtId="10" fontId="66" fillId="0" borderId="19" xfId="57" applyNumberFormat="1" applyFont="1" applyBorder="1" applyAlignment="1">
      <alignment horizontal="right"/>
      <protection/>
    </xf>
    <xf numFmtId="10" fontId="66" fillId="0" borderId="42" xfId="57" applyNumberFormat="1" applyFont="1" applyBorder="1" applyAlignment="1">
      <alignment horizontal="right"/>
      <protection/>
    </xf>
    <xf numFmtId="10" fontId="66" fillId="0" borderId="16" xfId="57" applyNumberFormat="1" applyFont="1" applyBorder="1" applyAlignment="1">
      <alignment horizontal="right" vertical="center"/>
      <protection/>
    </xf>
    <xf numFmtId="10" fontId="66" fillId="0" borderId="16" xfId="57" applyNumberFormat="1" applyFont="1" applyFill="1" applyBorder="1" applyAlignment="1">
      <alignment vertical="center"/>
      <protection/>
    </xf>
    <xf numFmtId="10" fontId="66" fillId="0" borderId="16" xfId="57" applyNumberFormat="1" applyFont="1" applyFill="1" applyBorder="1">
      <alignment/>
      <protection/>
    </xf>
    <xf numFmtId="10" fontId="66" fillId="0" borderId="22" xfId="57" applyNumberFormat="1" applyFont="1" applyBorder="1">
      <alignment/>
      <protection/>
    </xf>
    <xf numFmtId="10" fontId="66" fillId="0" borderId="25" xfId="57" applyNumberFormat="1" applyFont="1" applyBorder="1">
      <alignment/>
      <protection/>
    </xf>
    <xf numFmtId="3" fontId="3" fillId="0" borderId="46" xfId="0" applyNumberFormat="1" applyFont="1" applyFill="1" applyBorder="1" applyAlignment="1">
      <alignment horizontal="center" vertical="center" wrapText="1"/>
    </xf>
    <xf numFmtId="167" fontId="53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45" xfId="0" applyFont="1" applyFill="1" applyBorder="1" applyAlignment="1">
      <alignment horizontal="centerContinuous" vertical="center" wrapText="1"/>
    </xf>
    <xf numFmtId="3" fontId="32" fillId="0" borderId="58" xfId="58" applyNumberFormat="1" applyFont="1" applyFill="1" applyBorder="1" applyAlignment="1">
      <alignment vertical="center"/>
      <protection/>
    </xf>
    <xf numFmtId="3" fontId="32" fillId="0" borderId="55" xfId="58" applyNumberFormat="1" applyFont="1" applyFill="1" applyBorder="1" applyAlignment="1">
      <alignment horizontal="right" vertical="center" wrapText="1"/>
      <protection/>
    </xf>
    <xf numFmtId="3" fontId="32" fillId="0" borderId="87" xfId="58" applyNumberFormat="1" applyFont="1" applyFill="1" applyBorder="1" applyAlignment="1">
      <alignment horizontal="right" vertical="center" wrapText="1"/>
      <protection/>
    </xf>
    <xf numFmtId="3" fontId="18" fillId="0" borderId="66" xfId="58" applyNumberFormat="1" applyFont="1" applyBorder="1" applyAlignment="1">
      <alignment horizontal="right"/>
      <protection/>
    </xf>
    <xf numFmtId="0" fontId="12" fillId="1" borderId="31" xfId="58" applyFont="1" applyFill="1" applyBorder="1" applyAlignment="1">
      <alignment horizontal="center" vertical="center"/>
      <protection/>
    </xf>
    <xf numFmtId="0" fontId="3" fillId="0" borderId="54" xfId="0" applyFont="1" applyFill="1" applyBorder="1" applyAlignment="1">
      <alignment horizontal="centerContinuous" vertical="center" wrapText="1"/>
    </xf>
    <xf numFmtId="0" fontId="75" fillId="0" borderId="78" xfId="0" applyFont="1" applyBorder="1" applyAlignment="1">
      <alignment vertical="center" wrapText="1"/>
    </xf>
    <xf numFmtId="0" fontId="75" fillId="0" borderId="88" xfId="0" applyFont="1" applyBorder="1" applyAlignment="1">
      <alignment horizontal="center" vertical="center" wrapText="1"/>
    </xf>
    <xf numFmtId="3" fontId="32" fillId="0" borderId="88" xfId="58" applyNumberFormat="1" applyFont="1" applyFill="1" applyBorder="1" applyAlignment="1">
      <alignment vertical="center"/>
      <protection/>
    </xf>
    <xf numFmtId="10" fontId="32" fillId="0" borderId="88" xfId="58" applyNumberFormat="1" applyFont="1" applyBorder="1" applyAlignment="1">
      <alignment horizontal="right" vertical="center" wrapText="1"/>
      <protection/>
    </xf>
    <xf numFmtId="3" fontId="15" fillId="0" borderId="0" xfId="58" applyNumberFormat="1" applyFont="1">
      <alignment/>
      <protection/>
    </xf>
    <xf numFmtId="167" fontId="42" fillId="0" borderId="10" xfId="61" applyNumberFormat="1" applyFont="1" applyFill="1" applyBorder="1" applyAlignment="1" applyProtection="1">
      <alignment vertical="center"/>
      <protection/>
    </xf>
    <xf numFmtId="3" fontId="11" fillId="0" borderId="48" xfId="58" applyNumberFormat="1" applyBorder="1" applyAlignment="1">
      <alignment vertical="center"/>
      <protection/>
    </xf>
    <xf numFmtId="0" fontId="66" fillId="0" borderId="21" xfId="57" applyFont="1" applyBorder="1">
      <alignment/>
      <protection/>
    </xf>
    <xf numFmtId="0" fontId="1" fillId="0" borderId="32" xfId="57" applyFont="1" applyFill="1" applyBorder="1">
      <alignment/>
      <protection/>
    </xf>
    <xf numFmtId="3" fontId="1" fillId="0" borderId="25" xfId="57" applyNumberFormat="1" applyFont="1" applyFill="1" applyBorder="1">
      <alignment/>
      <protection/>
    </xf>
    <xf numFmtId="0" fontId="1" fillId="0" borderId="32" xfId="57" applyFont="1" applyBorder="1">
      <alignment/>
      <protection/>
    </xf>
    <xf numFmtId="0" fontId="1" fillId="0" borderId="32" xfId="57" applyFont="1" applyBorder="1" applyAlignment="1">
      <alignment wrapText="1"/>
      <protection/>
    </xf>
    <xf numFmtId="3" fontId="1" fillId="0" borderId="0" xfId="57" applyNumberFormat="1" applyFill="1">
      <alignment/>
      <protection/>
    </xf>
    <xf numFmtId="10" fontId="66" fillId="0" borderId="42" xfId="57" applyNumberFormat="1" applyFont="1" applyFill="1" applyBorder="1" applyAlignment="1">
      <alignment horizontal="center"/>
      <protection/>
    </xf>
    <xf numFmtId="0" fontId="32" fillId="0" borderId="22" xfId="58" applyFont="1" applyFill="1" applyBorder="1" applyAlignment="1">
      <alignment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19" xfId="58" applyFont="1" applyFill="1" applyBorder="1" applyAlignment="1">
      <alignment horizontal="left" vertical="center" wrapText="1"/>
      <protection/>
    </xf>
    <xf numFmtId="0" fontId="0" fillId="0" borderId="31" xfId="58" applyFont="1" applyFill="1" applyBorder="1" applyAlignment="1">
      <alignment horizontal="center" vertical="center"/>
      <protection/>
    </xf>
    <xf numFmtId="3" fontId="7" fillId="0" borderId="24" xfId="58" applyNumberFormat="1" applyFont="1" applyFill="1" applyBorder="1" applyAlignment="1">
      <alignment horizontal="right" vertical="center"/>
      <protection/>
    </xf>
    <xf numFmtId="167" fontId="53" fillId="0" borderId="27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27" xfId="61" applyFont="1" applyFill="1" applyBorder="1" applyAlignment="1" applyProtection="1">
      <alignment horizontal="left" vertical="center" wrapText="1" indent="1"/>
      <protection/>
    </xf>
    <xf numFmtId="0" fontId="45" fillId="0" borderId="17" xfId="0" applyFont="1" applyFill="1" applyBorder="1" applyAlignment="1" applyProtection="1">
      <alignment horizontal="left" vertical="center" wrapText="1" indent="1"/>
      <protection/>
    </xf>
    <xf numFmtId="167" fontId="53" fillId="0" borderId="17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17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41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41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22" xfId="0" applyFont="1" applyFill="1" applyBorder="1" applyAlignment="1" applyProtection="1">
      <alignment horizontal="left" vertical="center" wrapText="1" indent="1"/>
      <protection/>
    </xf>
    <xf numFmtId="167" fontId="53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2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26" xfId="0" applyFont="1" applyFill="1" applyBorder="1" applyAlignment="1" applyProtection="1">
      <alignment horizontal="center" vertical="center" wrapText="1"/>
      <protection/>
    </xf>
    <xf numFmtId="0" fontId="45" fillId="0" borderId="25" xfId="0" applyFont="1" applyFill="1" applyBorder="1" applyAlignment="1" applyProtection="1">
      <alignment horizontal="left" vertical="center" wrapText="1" indent="1"/>
      <protection/>
    </xf>
    <xf numFmtId="167" fontId="53" fillId="0" borderId="25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5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52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52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26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83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82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66" xfId="0" applyFont="1" applyFill="1" applyBorder="1" applyAlignment="1" applyProtection="1">
      <alignment horizontal="left" vertical="center" wrapText="1" indent="1"/>
      <protection/>
    </xf>
    <xf numFmtId="167" fontId="53" fillId="0" borderId="21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64" xfId="0" applyFont="1" applyFill="1" applyBorder="1" applyAlignment="1" applyProtection="1">
      <alignment horizontal="left" vertical="center" wrapText="1" indent="1"/>
      <protection/>
    </xf>
    <xf numFmtId="0" fontId="45" fillId="0" borderId="58" xfId="0" applyFont="1" applyFill="1" applyBorder="1" applyAlignment="1" applyProtection="1">
      <alignment horizontal="left" vertical="center" wrapText="1" indent="1"/>
      <protection/>
    </xf>
    <xf numFmtId="0" fontId="45" fillId="0" borderId="55" xfId="0" applyFont="1" applyFill="1" applyBorder="1" applyAlignment="1" applyProtection="1">
      <alignment horizontal="left" vertical="center" wrapText="1" indent="1"/>
      <protection/>
    </xf>
    <xf numFmtId="167" fontId="45" fillId="0" borderId="15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12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21" xfId="0" applyFont="1" applyFill="1" applyBorder="1" applyAlignment="1" applyProtection="1">
      <alignment horizontal="center" vertical="center" wrapText="1"/>
      <protection/>
    </xf>
    <xf numFmtId="0" fontId="44" fillId="0" borderId="13" xfId="0" applyFont="1" applyFill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/>
      <protection/>
    </xf>
    <xf numFmtId="2" fontId="37" fillId="0" borderId="23" xfId="59" applyNumberFormat="1" applyFont="1" applyFill="1" applyBorder="1" applyAlignment="1">
      <alignment horizontal="center" vertical="center" wrapText="1"/>
      <protection/>
    </xf>
    <xf numFmtId="2" fontId="35" fillId="0" borderId="43" xfId="59" applyNumberFormat="1" applyFont="1" applyBorder="1" applyAlignment="1">
      <alignment horizontal="center" vertical="center"/>
      <protection/>
    </xf>
    <xf numFmtId="3" fontId="0" fillId="0" borderId="60" xfId="0" applyNumberFormat="1" applyFont="1" applyBorder="1" applyAlignment="1">
      <alignment/>
    </xf>
    <xf numFmtId="0" fontId="18" fillId="0" borderId="0" xfId="58" applyFont="1" applyAlignment="1">
      <alignment wrapText="1"/>
      <protection/>
    </xf>
    <xf numFmtId="0" fontId="3" fillId="0" borderId="34" xfId="0" applyFont="1" applyFill="1" applyBorder="1" applyAlignment="1">
      <alignment horizontal="centerContinuous" vertical="center" wrapText="1"/>
    </xf>
    <xf numFmtId="3" fontId="7" fillId="0" borderId="23" xfId="0" applyNumberFormat="1" applyFont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53" xfId="0" applyNumberFormat="1" applyFont="1" applyBorder="1" applyAlignment="1">
      <alignment vertical="center"/>
    </xf>
    <xf numFmtId="3" fontId="7" fillId="0" borderId="52" xfId="0" applyNumberFormat="1" applyFont="1" applyFill="1" applyBorder="1" applyAlignment="1">
      <alignment vertical="center"/>
    </xf>
    <xf numFmtId="0" fontId="4" fillId="0" borderId="53" xfId="0" applyFont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15" fillId="0" borderId="22" xfId="0" applyNumberFormat="1" applyFont="1" applyFill="1" applyBorder="1" applyAlignment="1">
      <alignment vertical="center"/>
    </xf>
    <xf numFmtId="3" fontId="15" fillId="0" borderId="19" xfId="0" applyNumberFormat="1" applyFont="1" applyFill="1" applyBorder="1" applyAlignment="1">
      <alignment horizontal="right" vertical="center"/>
    </xf>
    <xf numFmtId="3" fontId="15" fillId="0" borderId="22" xfId="0" applyNumberFormat="1" applyFont="1" applyFill="1" applyBorder="1" applyAlignment="1">
      <alignment horizontal="right" vertical="center"/>
    </xf>
    <xf numFmtId="3" fontId="15" fillId="0" borderId="22" xfId="58" applyNumberFormat="1" applyFont="1" applyFill="1" applyBorder="1" applyAlignment="1">
      <alignment vertical="center"/>
      <protection/>
    </xf>
    <xf numFmtId="0" fontId="14" fillId="0" borderId="22" xfId="0" applyFont="1" applyFill="1" applyBorder="1" applyAlignment="1">
      <alignment vertical="center"/>
    </xf>
    <xf numFmtId="10" fontId="7" fillId="0" borderId="41" xfId="0" applyNumberFormat="1" applyFont="1" applyFill="1" applyBorder="1" applyAlignment="1">
      <alignment horizontal="right" vertical="center"/>
    </xf>
    <xf numFmtId="3" fontId="7" fillId="33" borderId="23" xfId="0" applyNumberFormat="1" applyFont="1" applyFill="1" applyBorder="1" applyAlignment="1">
      <alignment horizontal="right" vertical="center" wrapText="1"/>
    </xf>
    <xf numFmtId="10" fontId="3" fillId="0" borderId="39" xfId="0" applyNumberFormat="1" applyFont="1" applyFill="1" applyBorder="1" applyAlignment="1">
      <alignment horizontal="centerContinuous" vertical="center" wrapText="1"/>
    </xf>
    <xf numFmtId="0" fontId="53" fillId="0" borderId="24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 applyProtection="1">
      <alignment horizontal="left" vertical="center" wrapText="1" indent="1"/>
      <protection/>
    </xf>
    <xf numFmtId="167" fontId="53" fillId="0" borderId="19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19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51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75" fillId="0" borderId="32" xfId="0" applyFont="1" applyBorder="1" applyAlignment="1">
      <alignment vertical="center" wrapText="1"/>
    </xf>
    <xf numFmtId="0" fontId="75" fillId="0" borderId="25" xfId="0" applyFont="1" applyBorder="1" applyAlignment="1">
      <alignment horizontal="center" vertical="center" wrapText="1"/>
    </xf>
    <xf numFmtId="3" fontId="32" fillId="0" borderId="25" xfId="58" applyNumberFormat="1" applyFont="1" applyFill="1" applyBorder="1" applyAlignment="1">
      <alignment vertical="center"/>
      <protection/>
    </xf>
    <xf numFmtId="10" fontId="32" fillId="0" borderId="25" xfId="58" applyNumberFormat="1" applyFont="1" applyBorder="1" applyAlignment="1">
      <alignment horizontal="right" vertical="center" wrapText="1"/>
      <protection/>
    </xf>
    <xf numFmtId="0" fontId="41" fillId="0" borderId="0" xfId="58" applyFont="1">
      <alignment/>
      <protection/>
    </xf>
    <xf numFmtId="3" fontId="41" fillId="0" borderId="0" xfId="58" applyNumberFormat="1" applyFont="1">
      <alignment/>
      <protection/>
    </xf>
    <xf numFmtId="3" fontId="41" fillId="35" borderId="58" xfId="58" applyNumberFormat="1" applyFont="1" applyFill="1" applyBorder="1" applyAlignment="1">
      <alignment horizontal="right"/>
      <protection/>
    </xf>
    <xf numFmtId="3" fontId="14" fillId="0" borderId="0" xfId="58" applyNumberFormat="1" applyFont="1" applyAlignment="1">
      <alignment horizontal="center"/>
      <protection/>
    </xf>
    <xf numFmtId="3" fontId="41" fillId="35" borderId="55" xfId="58" applyNumberFormat="1" applyFont="1" applyFill="1" applyBorder="1" applyAlignment="1">
      <alignment horizontal="right"/>
      <protection/>
    </xf>
    <xf numFmtId="3" fontId="41" fillId="35" borderId="25" xfId="58" applyNumberFormat="1" applyFont="1" applyFill="1" applyBorder="1" applyAlignment="1">
      <alignment horizontal="right"/>
      <protection/>
    </xf>
    <xf numFmtId="3" fontId="15" fillId="0" borderId="0" xfId="58" applyNumberFormat="1" applyFont="1" applyFill="1">
      <alignment/>
      <protection/>
    </xf>
    <xf numFmtId="3" fontId="41" fillId="0" borderId="55" xfId="58" applyNumberFormat="1" applyFont="1" applyFill="1" applyBorder="1" applyAlignment="1">
      <alignment horizontal="right"/>
      <protection/>
    </xf>
    <xf numFmtId="3" fontId="41" fillId="0" borderId="25" xfId="58" applyNumberFormat="1" applyFont="1" applyFill="1" applyBorder="1" applyAlignment="1">
      <alignment horizontal="right"/>
      <protection/>
    </xf>
    <xf numFmtId="3" fontId="128" fillId="0" borderId="0" xfId="0" applyNumberFormat="1" applyFont="1" applyBorder="1" applyAlignment="1">
      <alignment/>
    </xf>
    <xf numFmtId="0" fontId="129" fillId="0" borderId="0" xfId="0" applyFont="1" applyAlignment="1">
      <alignment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10" fontId="7" fillId="0" borderId="23" xfId="0" applyNumberFormat="1" applyFont="1" applyFill="1" applyBorder="1" applyAlignment="1" applyProtection="1">
      <alignment horizontal="right" vertical="center"/>
      <protection locked="0"/>
    </xf>
    <xf numFmtId="3" fontId="7" fillId="0" borderId="21" xfId="0" applyNumberFormat="1" applyFont="1" applyFill="1" applyBorder="1" applyAlignment="1" applyProtection="1">
      <alignment horizontal="right" vertical="center"/>
      <protection locked="0"/>
    </xf>
    <xf numFmtId="3" fontId="7" fillId="0" borderId="13" xfId="0" applyNumberFormat="1" applyFont="1" applyFill="1" applyBorder="1" applyAlignment="1" applyProtection="1">
      <alignment horizontal="right" vertical="center"/>
      <protection locked="0"/>
    </xf>
    <xf numFmtId="3" fontId="7" fillId="0" borderId="15" xfId="0" applyNumberFormat="1" applyFont="1" applyFill="1" applyBorder="1" applyAlignment="1" applyProtection="1">
      <alignment horizontal="right" vertical="center"/>
      <protection locked="0"/>
    </xf>
    <xf numFmtId="3" fontId="7" fillId="0" borderId="17" xfId="0" applyNumberFormat="1" applyFont="1" applyFill="1" applyBorder="1" applyAlignment="1" applyProtection="1">
      <alignment horizontal="right" vertical="center"/>
      <protection locked="0"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10" fontId="7" fillId="0" borderId="51" xfId="0" applyNumberFormat="1" applyFont="1" applyFill="1" applyBorder="1" applyAlignment="1" applyProtection="1">
      <alignment horizontal="right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vertical="center"/>
      <protection locked="0"/>
    </xf>
    <xf numFmtId="10" fontId="7" fillId="0" borderId="23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10" fontId="7" fillId="0" borderId="52" xfId="0" applyNumberFormat="1" applyFont="1" applyFill="1" applyBorder="1" applyAlignment="1" applyProtection="1">
      <alignment vertical="center"/>
      <protection locked="0"/>
    </xf>
    <xf numFmtId="3" fontId="130" fillId="0" borderId="0" xfId="58" applyNumberFormat="1" applyFont="1" applyFill="1" applyBorder="1" applyAlignment="1">
      <alignment horizontal="right" vertical="center"/>
      <protection/>
    </xf>
    <xf numFmtId="0" fontId="131" fillId="0" borderId="0" xfId="58" applyFont="1">
      <alignment/>
      <protection/>
    </xf>
    <xf numFmtId="0" fontId="132" fillId="0" borderId="0" xfId="58" applyFont="1">
      <alignment/>
      <protection/>
    </xf>
    <xf numFmtId="3" fontId="11" fillId="0" borderId="18" xfId="58" applyNumberFormat="1" applyFont="1" applyBorder="1" applyAlignment="1">
      <alignment vertical="center"/>
      <protection/>
    </xf>
    <xf numFmtId="3" fontId="7" fillId="0" borderId="51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 applyProtection="1">
      <alignment horizontal="right" vertical="center"/>
      <protection locked="0"/>
    </xf>
    <xf numFmtId="3" fontId="7" fillId="0" borderId="51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52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10" fontId="45" fillId="0" borderId="51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51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3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52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9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1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85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0" xfId="0" applyNumberFormat="1" applyFont="1" applyAlignment="1">
      <alignment vertical="center"/>
    </xf>
    <xf numFmtId="49" fontId="4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2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3" fillId="0" borderId="38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39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10" fontId="3" fillId="0" borderId="39" xfId="0" applyNumberFormat="1" applyFont="1" applyFill="1" applyBorder="1" applyAlignment="1">
      <alignment horizontal="right" vertical="center" wrapText="1"/>
    </xf>
    <xf numFmtId="49" fontId="0" fillId="0" borderId="71" xfId="0" applyNumberFormat="1" applyFont="1" applyFill="1" applyBorder="1" applyAlignment="1">
      <alignment horizontal="left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10" fontId="7" fillId="0" borderId="41" xfId="0" applyNumberFormat="1" applyFont="1" applyFill="1" applyBorder="1" applyAlignment="1">
      <alignment horizontal="right" vertical="center" wrapText="1"/>
    </xf>
    <xf numFmtId="3" fontId="7" fillId="0" borderId="41" xfId="0" applyNumberFormat="1" applyFont="1" applyFill="1" applyBorder="1" applyAlignment="1">
      <alignment horizontal="right" vertical="center" wrapText="1"/>
    </xf>
    <xf numFmtId="49" fontId="0" fillId="0" borderId="20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0" fontId="7" fillId="0" borderId="30" xfId="0" applyFont="1" applyFill="1" applyBorder="1" applyAlignment="1">
      <alignment horizontal="left" wrapText="1"/>
    </xf>
    <xf numFmtId="49" fontId="0" fillId="0" borderId="36" xfId="0" applyNumberFormat="1" applyFont="1" applyFill="1" applyBorder="1" applyAlignment="1">
      <alignment horizontal="left"/>
    </xf>
    <xf numFmtId="3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8" xfId="0" applyNumberFormat="1" applyFont="1" applyFill="1" applyBorder="1" applyAlignment="1">
      <alignment horizontal="left"/>
    </xf>
    <xf numFmtId="3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32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center"/>
    </xf>
    <xf numFmtId="49" fontId="7" fillId="0" borderId="31" xfId="0" applyNumberFormat="1" applyFont="1" applyFill="1" applyBorder="1" applyAlignment="1">
      <alignment horizontal="left" vertical="center"/>
    </xf>
    <xf numFmtId="49" fontId="7" fillId="0" borderId="30" xfId="0" applyNumberFormat="1" applyFont="1" applyFill="1" applyBorder="1" applyAlignment="1">
      <alignment horizontal="left" vertical="center"/>
    </xf>
    <xf numFmtId="49" fontId="0" fillId="0" borderId="48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/>
    </xf>
    <xf numFmtId="3" fontId="2" fillId="0" borderId="38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10" fontId="4" fillId="0" borderId="39" xfId="0" applyNumberFormat="1" applyFont="1" applyFill="1" applyBorder="1" applyAlignment="1">
      <alignment vertical="center"/>
    </xf>
    <xf numFmtId="49" fontId="3" fillId="0" borderId="60" xfId="0" applyNumberFormat="1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29" fillId="0" borderId="0" xfId="0" applyFont="1" applyFill="1" applyAlignment="1">
      <alignment/>
    </xf>
    <xf numFmtId="3" fontId="128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48" fillId="0" borderId="0" xfId="0" applyFont="1" applyFill="1" applyAlignment="1">
      <alignment wrapText="1"/>
    </xf>
    <xf numFmtId="3" fontId="15" fillId="0" borderId="13" xfId="58" applyNumberFormat="1" applyFont="1" applyFill="1" applyBorder="1" applyAlignment="1">
      <alignment vertical="center"/>
      <protection/>
    </xf>
    <xf numFmtId="0" fontId="66" fillId="0" borderId="32" xfId="57" applyFont="1" applyBorder="1" applyAlignment="1">
      <alignment wrapText="1"/>
      <protection/>
    </xf>
    <xf numFmtId="3" fontId="15" fillId="0" borderId="25" xfId="58" applyNumberFormat="1" applyFont="1" applyFill="1" applyBorder="1" applyAlignment="1">
      <alignment vertical="center"/>
      <protection/>
    </xf>
    <xf numFmtId="3" fontId="15" fillId="0" borderId="25" xfId="58" applyNumberFormat="1" applyFont="1" applyFill="1" applyBorder="1" applyAlignment="1">
      <alignment horizontal="right" vertical="center"/>
      <protection/>
    </xf>
    <xf numFmtId="0" fontId="14" fillId="0" borderId="29" xfId="0" applyFont="1" applyFill="1" applyBorder="1" applyAlignment="1">
      <alignment vertical="center" wrapText="1"/>
    </xf>
    <xf numFmtId="10" fontId="41" fillId="0" borderId="55" xfId="58" applyNumberFormat="1" applyFont="1" applyFill="1" applyBorder="1" applyAlignment="1">
      <alignment horizontal="right"/>
      <protection/>
    </xf>
    <xf numFmtId="0" fontId="53" fillId="0" borderId="45" xfId="0" applyFont="1" applyFill="1" applyBorder="1" applyAlignment="1" applyProtection="1">
      <alignment horizontal="center" vertical="center" wrapText="1"/>
      <protection/>
    </xf>
    <xf numFmtId="3" fontId="133" fillId="0" borderId="24" xfId="58" applyNumberFormat="1" applyFont="1" applyBorder="1" applyAlignment="1">
      <alignment horizontal="right" vertical="center"/>
      <protection/>
    </xf>
    <xf numFmtId="3" fontId="15" fillId="0" borderId="82" xfId="58" applyNumberFormat="1" applyFont="1" applyFill="1" applyBorder="1" applyAlignment="1">
      <alignment horizontal="right" vertical="center"/>
      <protection/>
    </xf>
    <xf numFmtId="3" fontId="66" fillId="0" borderId="0" xfId="57" applyNumberFormat="1" applyFont="1" applyFill="1">
      <alignment/>
      <protection/>
    </xf>
    <xf numFmtId="3" fontId="1" fillId="0" borderId="0" xfId="57" applyNumberFormat="1" applyFill="1" applyAlignment="1" applyProtection="1">
      <alignment vertical="center"/>
      <protection/>
    </xf>
    <xf numFmtId="3" fontId="1" fillId="0" borderId="0" xfId="57" applyNumberFormat="1" applyFill="1" applyAlignment="1">
      <alignment vertical="center"/>
      <protection/>
    </xf>
    <xf numFmtId="3" fontId="66" fillId="35" borderId="25" xfId="57" applyNumberFormat="1" applyFont="1" applyFill="1" applyBorder="1">
      <alignment/>
      <protection/>
    </xf>
    <xf numFmtId="3" fontId="90" fillId="0" borderId="16" xfId="57" applyNumberFormat="1" applyFont="1" applyFill="1" applyBorder="1" applyAlignment="1">
      <alignment vertical="center"/>
      <protection/>
    </xf>
    <xf numFmtId="3" fontId="71" fillId="0" borderId="0" xfId="58" applyNumberFormat="1" applyFont="1">
      <alignment/>
      <protection/>
    </xf>
    <xf numFmtId="3" fontId="6" fillId="0" borderId="0" xfId="0" applyNumberFormat="1" applyFont="1" applyAlignment="1">
      <alignment/>
    </xf>
    <xf numFmtId="0" fontId="12" fillId="0" borderId="0" xfId="58" applyFont="1" applyFill="1" applyBorder="1" applyAlignment="1">
      <alignment horizontal="center" vertical="center"/>
      <protection/>
    </xf>
    <xf numFmtId="0" fontId="11" fillId="0" borderId="0" xfId="58" applyFont="1" applyFill="1" applyAlignment="1">
      <alignment vertical="center"/>
      <protection/>
    </xf>
    <xf numFmtId="0" fontId="11" fillId="0" borderId="10" xfId="58" applyFont="1" applyFill="1" applyBorder="1" applyAlignment="1">
      <alignment vertical="center"/>
      <protection/>
    </xf>
    <xf numFmtId="3" fontId="12" fillId="0" borderId="0" xfId="58" applyNumberFormat="1" applyFont="1" applyFill="1" applyBorder="1" applyAlignment="1">
      <alignment horizontal="center" vertical="center"/>
      <protection/>
    </xf>
    <xf numFmtId="0" fontId="16" fillId="0" borderId="38" xfId="58" applyFont="1" applyFill="1" applyBorder="1" applyAlignment="1">
      <alignment horizontal="center" vertical="center"/>
      <protection/>
    </xf>
    <xf numFmtId="0" fontId="16" fillId="0" borderId="16" xfId="58" applyFont="1" applyFill="1" applyBorder="1" applyAlignment="1">
      <alignment horizontal="center" vertical="center"/>
      <protection/>
    </xf>
    <xf numFmtId="0" fontId="16" fillId="0" borderId="54" xfId="58" applyFont="1" applyFill="1" applyBorder="1" applyAlignment="1">
      <alignment horizontal="center" vertical="center"/>
      <protection/>
    </xf>
    <xf numFmtId="0" fontId="13" fillId="0" borderId="0" xfId="58" applyFont="1" applyFill="1" applyAlignment="1">
      <alignment vertical="center"/>
      <protection/>
    </xf>
    <xf numFmtId="0" fontId="16" fillId="0" borderId="40" xfId="58" applyFont="1" applyFill="1" applyBorder="1" applyAlignment="1">
      <alignment horizontal="center" vertical="center"/>
      <protection/>
    </xf>
    <xf numFmtId="0" fontId="16" fillId="0" borderId="27" xfId="58" applyFont="1" applyFill="1" applyBorder="1" applyAlignment="1">
      <alignment horizontal="center" vertical="center"/>
      <protection/>
    </xf>
    <xf numFmtId="0" fontId="16" fillId="0" borderId="87" xfId="58" applyFont="1" applyFill="1" applyBorder="1" applyAlignment="1">
      <alignment horizontal="center" vertical="center"/>
      <protection/>
    </xf>
    <xf numFmtId="3" fontId="16" fillId="0" borderId="44" xfId="58" applyNumberFormat="1" applyFont="1" applyFill="1" applyBorder="1" applyAlignment="1">
      <alignment horizontal="center" vertical="center"/>
      <protection/>
    </xf>
    <xf numFmtId="3" fontId="16" fillId="0" borderId="37" xfId="58" applyNumberFormat="1" applyFont="1" applyFill="1" applyBorder="1" applyAlignment="1">
      <alignment horizontal="center" vertical="center" wrapText="1"/>
      <protection/>
    </xf>
    <xf numFmtId="3" fontId="16" fillId="0" borderId="37" xfId="58" applyNumberFormat="1" applyFont="1" applyFill="1" applyBorder="1" applyAlignment="1">
      <alignment horizontal="center" vertical="center"/>
      <protection/>
    </xf>
    <xf numFmtId="3" fontId="16" fillId="0" borderId="49" xfId="58" applyNumberFormat="1" applyFont="1" applyFill="1" applyBorder="1" applyAlignment="1">
      <alignment horizontal="center" vertical="center"/>
      <protection/>
    </xf>
    <xf numFmtId="0" fontId="11" fillId="0" borderId="12" xfId="58" applyFont="1" applyFill="1" applyBorder="1" applyAlignment="1">
      <alignment horizontal="center" vertical="center"/>
      <protection/>
    </xf>
    <xf numFmtId="0" fontId="14" fillId="0" borderId="58" xfId="58" applyFont="1" applyFill="1" applyBorder="1" applyAlignment="1">
      <alignment horizontal="center" vertical="center"/>
      <protection/>
    </xf>
    <xf numFmtId="0" fontId="16" fillId="0" borderId="0" xfId="58" applyFont="1" applyFill="1" applyBorder="1" applyAlignment="1">
      <alignment horizontal="center" vertical="center"/>
      <protection/>
    </xf>
    <xf numFmtId="3" fontId="11" fillId="0" borderId="0" xfId="58" applyNumberFormat="1" applyFont="1" applyFill="1" applyAlignment="1">
      <alignment vertical="center"/>
      <protection/>
    </xf>
    <xf numFmtId="0" fontId="131" fillId="0" borderId="0" xfId="58" applyFont="1" applyFill="1" applyAlignment="1">
      <alignment vertical="center"/>
      <protection/>
    </xf>
    <xf numFmtId="0" fontId="11" fillId="0" borderId="0" xfId="58" applyFont="1" applyFill="1" applyAlignment="1">
      <alignment horizontal="center" vertical="center"/>
      <protection/>
    </xf>
    <xf numFmtId="0" fontId="16" fillId="0" borderId="44" xfId="58" applyFont="1" applyFill="1" applyBorder="1" applyAlignment="1">
      <alignment horizontal="center" vertical="center"/>
      <protection/>
    </xf>
    <xf numFmtId="0" fontId="16" fillId="0" borderId="37" xfId="58" applyFont="1" applyFill="1" applyBorder="1" applyAlignment="1">
      <alignment horizontal="center" vertical="center"/>
      <protection/>
    </xf>
    <xf numFmtId="0" fontId="16" fillId="0" borderId="60" xfId="58" applyFont="1" applyFill="1" applyBorder="1" applyAlignment="1">
      <alignment horizontal="center" vertical="center"/>
      <protection/>
    </xf>
    <xf numFmtId="0" fontId="11" fillId="0" borderId="15" xfId="58" applyFont="1" applyFill="1" applyBorder="1" applyAlignment="1">
      <alignment horizontal="center" vertical="center"/>
      <protection/>
    </xf>
    <xf numFmtId="3" fontId="15" fillId="0" borderId="15" xfId="58" applyNumberFormat="1" applyFont="1" applyFill="1" applyBorder="1" applyAlignment="1">
      <alignment vertical="center"/>
      <protection/>
    </xf>
    <xf numFmtId="3" fontId="15" fillId="0" borderId="17" xfId="58" applyNumberFormat="1" applyFont="1" applyFill="1" applyBorder="1" applyAlignment="1">
      <alignment vertical="center"/>
      <protection/>
    </xf>
    <xf numFmtId="0" fontId="11" fillId="0" borderId="24" xfId="58" applyFont="1" applyFill="1" applyBorder="1" applyAlignment="1">
      <alignment horizontal="center" vertical="center"/>
      <protection/>
    </xf>
    <xf numFmtId="0" fontId="131" fillId="0" borderId="0" xfId="58" applyFont="1" applyFill="1" applyAlignment="1">
      <alignment vertical="center"/>
      <protection/>
    </xf>
    <xf numFmtId="3" fontId="91" fillId="0" borderId="22" xfId="57" applyNumberFormat="1" applyFont="1" applyFill="1" applyBorder="1">
      <alignment/>
      <protection/>
    </xf>
    <xf numFmtId="49" fontId="40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7" fillId="0" borderId="59" xfId="0" applyFont="1" applyBorder="1" applyAlignment="1">
      <alignment horizontal="left" wrapText="1"/>
    </xf>
    <xf numFmtId="0" fontId="7" fillId="0" borderId="86" xfId="0" applyFont="1" applyBorder="1" applyAlignment="1">
      <alignment horizontal="left" wrapText="1"/>
    </xf>
    <xf numFmtId="0" fontId="7" fillId="0" borderId="62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7" fillId="0" borderId="47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left" wrapText="1"/>
    </xf>
    <xf numFmtId="0" fontId="7" fillId="0" borderId="89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43" fillId="0" borderId="22" xfId="61" applyFont="1" applyFill="1" applyBorder="1" applyAlignment="1">
      <alignment horizontal="left"/>
      <protection/>
    </xf>
    <xf numFmtId="0" fontId="46" fillId="0" borderId="0" xfId="61" applyFont="1" applyFill="1" applyBorder="1" applyAlignment="1">
      <alignment horizontal="center" wrapText="1"/>
      <protection/>
    </xf>
    <xf numFmtId="0" fontId="27" fillId="0" borderId="54" xfId="61" applyFont="1" applyFill="1" applyBorder="1" applyAlignment="1" applyProtection="1">
      <alignment horizontal="left" vertical="center" wrapText="1"/>
      <protection/>
    </xf>
    <xf numFmtId="0" fontId="27" fillId="0" borderId="34" xfId="61" applyFont="1" applyFill="1" applyBorder="1" applyAlignment="1" applyProtection="1">
      <alignment horizontal="left" vertical="center" wrapText="1"/>
      <protection/>
    </xf>
    <xf numFmtId="0" fontId="27" fillId="0" borderId="45" xfId="61" applyFont="1" applyFill="1" applyBorder="1" applyAlignment="1" applyProtection="1">
      <alignment horizontal="left" vertical="center" wrapText="1"/>
      <protection/>
    </xf>
    <xf numFmtId="167" fontId="60" fillId="0" borderId="0" xfId="61" applyNumberFormat="1" applyFont="1" applyFill="1" applyBorder="1" applyAlignment="1" applyProtection="1">
      <alignment horizontal="left" vertical="center"/>
      <protection/>
    </xf>
    <xf numFmtId="0" fontId="29" fillId="0" borderId="58" xfId="61" applyFont="1" applyFill="1" applyBorder="1" applyAlignment="1" applyProtection="1">
      <alignment horizontal="left" vertical="center" wrapText="1"/>
      <protection/>
    </xf>
    <xf numFmtId="0" fontId="29" fillId="0" borderId="30" xfId="61" applyFont="1" applyFill="1" applyBorder="1" applyAlignment="1" applyProtection="1">
      <alignment horizontal="left" vertical="center" wrapText="1"/>
      <protection/>
    </xf>
    <xf numFmtId="0" fontId="29" fillId="0" borderId="82" xfId="61" applyFont="1" applyFill="1" applyBorder="1" applyAlignment="1" applyProtection="1">
      <alignment horizontal="left" vertical="center" wrapText="1"/>
      <protection/>
    </xf>
    <xf numFmtId="0" fontId="29" fillId="0" borderId="65" xfId="61" applyFont="1" applyFill="1" applyBorder="1" applyAlignment="1" applyProtection="1">
      <alignment horizontal="left" vertical="center" wrapText="1"/>
      <protection/>
    </xf>
    <xf numFmtId="0" fontId="29" fillId="0" borderId="10" xfId="61" applyFont="1" applyFill="1" applyBorder="1" applyAlignment="1" applyProtection="1">
      <alignment horizontal="left" vertical="center" wrapText="1"/>
      <protection/>
    </xf>
    <xf numFmtId="0" fontId="29" fillId="0" borderId="84" xfId="61" applyFont="1" applyFill="1" applyBorder="1" applyAlignment="1" applyProtection="1">
      <alignment horizontal="left" vertical="center" wrapText="1"/>
      <protection/>
    </xf>
    <xf numFmtId="0" fontId="29" fillId="0" borderId="64" xfId="61" applyFont="1" applyFill="1" applyBorder="1" applyAlignment="1" applyProtection="1">
      <alignment horizontal="left" vertical="center" wrapText="1"/>
      <protection/>
    </xf>
    <xf numFmtId="0" fontId="29" fillId="0" borderId="47" xfId="61" applyFont="1" applyFill="1" applyBorder="1" applyAlignment="1" applyProtection="1">
      <alignment horizontal="left" vertical="center" wrapText="1"/>
      <protection/>
    </xf>
    <xf numFmtId="0" fontId="29" fillId="0" borderId="83" xfId="61" applyFont="1" applyFill="1" applyBorder="1" applyAlignment="1" applyProtection="1">
      <alignment horizontal="left" vertical="center" wrapText="1"/>
      <protection/>
    </xf>
    <xf numFmtId="0" fontId="43" fillId="0" borderId="13" xfId="61" applyFont="1" applyFill="1" applyBorder="1" applyAlignment="1">
      <alignment horizontal="left"/>
      <protection/>
    </xf>
    <xf numFmtId="0" fontId="29" fillId="0" borderId="66" xfId="61" applyFont="1" applyFill="1" applyBorder="1" applyAlignment="1" applyProtection="1">
      <alignment horizontal="left" vertical="center" wrapText="1"/>
      <protection/>
    </xf>
    <xf numFmtId="0" fontId="29" fillId="0" borderId="59" xfId="61" applyFont="1" applyFill="1" applyBorder="1" applyAlignment="1" applyProtection="1">
      <alignment horizontal="left" vertical="center" wrapText="1"/>
      <protection/>
    </xf>
    <xf numFmtId="0" fontId="29" fillId="0" borderId="85" xfId="61" applyFont="1" applyFill="1" applyBorder="1" applyAlignment="1" applyProtection="1">
      <alignment horizontal="left" vertical="center" wrapText="1"/>
      <protection/>
    </xf>
    <xf numFmtId="0" fontId="27" fillId="0" borderId="17" xfId="61" applyFont="1" applyFill="1" applyBorder="1" applyAlignment="1">
      <alignment horizontal="left"/>
      <protection/>
    </xf>
    <xf numFmtId="0" fontId="29" fillId="0" borderId="22" xfId="61" applyFont="1" applyFill="1" applyBorder="1" applyAlignment="1">
      <alignment horizontal="left"/>
      <protection/>
    </xf>
    <xf numFmtId="0" fontId="46" fillId="0" borderId="0" xfId="61" applyFont="1" applyFill="1" applyAlignment="1">
      <alignment horizontal="center" wrapText="1"/>
      <protection/>
    </xf>
    <xf numFmtId="0" fontId="60" fillId="0" borderId="0" xfId="61" applyFont="1" applyFill="1" applyBorder="1" applyAlignment="1">
      <alignment horizontal="left"/>
      <protection/>
    </xf>
    <xf numFmtId="0" fontId="46" fillId="0" borderId="0" xfId="61" applyFont="1" applyFill="1" applyAlignment="1">
      <alignment horizontal="center"/>
      <protection/>
    </xf>
    <xf numFmtId="0" fontId="7" fillId="0" borderId="3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/>
    </xf>
    <xf numFmtId="49" fontId="7" fillId="0" borderId="31" xfId="0" applyNumberFormat="1" applyFont="1" applyBorder="1" applyAlignment="1">
      <alignment horizontal="left" vertical="center"/>
    </xf>
    <xf numFmtId="49" fontId="7" fillId="0" borderId="30" xfId="0" applyNumberFormat="1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49" fontId="7" fillId="0" borderId="55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 wrapText="1"/>
    </xf>
    <xf numFmtId="49" fontId="3" fillId="0" borderId="60" xfId="0" applyNumberFormat="1" applyFont="1" applyBorder="1" applyAlignment="1">
      <alignment horizontal="center" vertical="center"/>
    </xf>
    <xf numFmtId="167" fontId="60" fillId="0" borderId="10" xfId="61" applyNumberFormat="1" applyFont="1" applyFill="1" applyBorder="1" applyAlignment="1" applyProtection="1">
      <alignment horizontal="left" vertical="center"/>
      <protection/>
    </xf>
    <xf numFmtId="0" fontId="21" fillId="0" borderId="0" xfId="58" applyFont="1" applyAlignment="1">
      <alignment horizontal="center" vertical="center"/>
      <protection/>
    </xf>
    <xf numFmtId="0" fontId="22" fillId="0" borderId="10" xfId="58" applyFont="1" applyBorder="1" applyAlignment="1">
      <alignment horizontal="center" vertical="center"/>
      <protection/>
    </xf>
    <xf numFmtId="0" fontId="22" fillId="0" borderId="0" xfId="58" applyFont="1" applyBorder="1" applyAlignment="1">
      <alignment horizontal="center" vertical="center"/>
      <protection/>
    </xf>
    <xf numFmtId="0" fontId="86" fillId="0" borderId="0" xfId="58" applyFont="1" applyAlignment="1">
      <alignment horizontal="right" vertical="center"/>
      <protection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34" xfId="0" applyNumberFormat="1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wrapText="1"/>
    </xf>
    <xf numFmtId="3" fontId="87" fillId="0" borderId="0" xfId="0" applyNumberFormat="1" applyFont="1" applyFill="1" applyAlignment="1">
      <alignment horizontal="right"/>
    </xf>
    <xf numFmtId="0" fontId="7" fillId="0" borderId="59" xfId="0" applyFont="1" applyFill="1" applyBorder="1" applyAlignment="1">
      <alignment horizontal="left" wrapText="1"/>
    </xf>
    <xf numFmtId="0" fontId="7" fillId="0" borderId="47" xfId="0" applyFont="1" applyFill="1" applyBorder="1" applyAlignment="1">
      <alignment horizontal="left" wrapText="1"/>
    </xf>
    <xf numFmtId="49" fontId="40" fillId="0" borderId="0" xfId="0" applyNumberFormat="1" applyFont="1" applyFill="1" applyAlignment="1">
      <alignment horizontal="center" vertical="center"/>
    </xf>
    <xf numFmtId="3" fontId="88" fillId="0" borderId="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167" fontId="83" fillId="0" borderId="0" xfId="0" applyNumberFormat="1" applyFont="1" applyFill="1" applyAlignment="1">
      <alignment horizontal="right" vertical="center" wrapText="1"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45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49" fillId="0" borderId="54" xfId="0" applyFont="1" applyFill="1" applyBorder="1" applyAlignment="1" applyProtection="1">
      <alignment horizontal="center" vertical="center" wrapText="1"/>
      <protection/>
    </xf>
    <xf numFmtId="0" fontId="49" fillId="0" borderId="34" xfId="0" applyFont="1" applyFill="1" applyBorder="1" applyAlignment="1" applyProtection="1">
      <alignment horizontal="center" vertical="center" wrapText="1"/>
      <protection/>
    </xf>
    <xf numFmtId="0" fontId="49" fillId="0" borderId="38" xfId="0" applyFont="1" applyFill="1" applyBorder="1" applyAlignment="1" applyProtection="1">
      <alignment horizontal="center" vertical="center" wrapText="1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49" fillId="0" borderId="39" xfId="0" applyFont="1" applyFill="1" applyBorder="1" applyAlignment="1" applyProtection="1">
      <alignment horizontal="center" vertical="center" wrapText="1"/>
      <protection/>
    </xf>
    <xf numFmtId="0" fontId="28" fillId="0" borderId="38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4" fillId="0" borderId="64" xfId="59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89" xfId="0" applyBorder="1" applyAlignment="1">
      <alignment/>
    </xf>
    <xf numFmtId="1" fontId="35" fillId="0" borderId="11" xfId="59" applyNumberFormat="1" applyFont="1" applyBorder="1" applyAlignment="1">
      <alignment horizontal="center" vertical="center" wrapText="1"/>
      <protection/>
    </xf>
    <xf numFmtId="1" fontId="35" fillId="0" borderId="34" xfId="59" applyNumberFormat="1" applyFont="1" applyBorder="1" applyAlignment="1">
      <alignment horizontal="center" vertical="center" wrapText="1"/>
      <protection/>
    </xf>
    <xf numFmtId="1" fontId="35" fillId="0" borderId="46" xfId="59" applyNumberFormat="1" applyFont="1" applyBorder="1" applyAlignment="1">
      <alignment horizontal="center" vertical="center" wrapText="1"/>
      <protection/>
    </xf>
    <xf numFmtId="0" fontId="36" fillId="0" borderId="0" xfId="59" applyFont="1" applyAlignment="1">
      <alignment horizontal="center" vertical="center"/>
      <protection/>
    </xf>
    <xf numFmtId="0" fontId="24" fillId="0" borderId="44" xfId="59" applyFont="1" applyBorder="1" applyAlignment="1">
      <alignment horizontal="center" vertical="center" wrapText="1"/>
      <protection/>
    </xf>
    <xf numFmtId="0" fontId="24" fillId="0" borderId="35" xfId="59" applyFont="1" applyBorder="1" applyAlignment="1">
      <alignment horizontal="center" vertical="center" wrapText="1"/>
      <protection/>
    </xf>
    <xf numFmtId="0" fontId="36" fillId="0" borderId="15" xfId="59" applyFont="1" applyBorder="1" applyAlignment="1">
      <alignment horizontal="center" vertical="center" wrapText="1"/>
      <protection/>
    </xf>
    <xf numFmtId="0" fontId="36" fillId="0" borderId="41" xfId="59" applyFont="1" applyBorder="1" applyAlignment="1">
      <alignment horizontal="center" vertical="center" wrapText="1"/>
      <protection/>
    </xf>
    <xf numFmtId="0" fontId="64" fillId="0" borderId="0" xfId="59" applyFont="1" applyAlignment="1">
      <alignment horizontal="right" vertical="center"/>
      <protection/>
    </xf>
    <xf numFmtId="0" fontId="34" fillId="0" borderId="0" xfId="59" applyFont="1" applyAlignment="1">
      <alignment horizontal="center" vertical="center"/>
      <protection/>
    </xf>
    <xf numFmtId="16" fontId="34" fillId="0" borderId="0" xfId="59" applyNumberFormat="1" applyFont="1" applyBorder="1" applyAlignment="1">
      <alignment horizontal="center" vertical="center" wrapText="1"/>
      <protection/>
    </xf>
    <xf numFmtId="0" fontId="24" fillId="0" borderId="71" xfId="59" applyFont="1" applyFill="1" applyBorder="1" applyAlignment="1">
      <alignment horizontal="center" vertical="center" wrapText="1"/>
      <protection/>
    </xf>
    <xf numFmtId="0" fontId="24" fillId="0" borderId="11" xfId="59" applyFont="1" applyBorder="1" applyAlignment="1">
      <alignment horizontal="left" vertical="center"/>
      <protection/>
    </xf>
    <xf numFmtId="0" fontId="24" fillId="0" borderId="34" xfId="59" applyFont="1" applyBorder="1" applyAlignment="1">
      <alignment horizontal="left" vertical="center"/>
      <protection/>
    </xf>
    <xf numFmtId="0" fontId="24" fillId="0" borderId="45" xfId="59" applyFont="1" applyBorder="1" applyAlignment="1">
      <alignment horizontal="left" vertical="center"/>
      <protection/>
    </xf>
    <xf numFmtId="3" fontId="16" fillId="0" borderId="38" xfId="58" applyNumberFormat="1" applyFont="1" applyFill="1" applyBorder="1" applyAlignment="1">
      <alignment horizontal="center" vertical="center"/>
      <protection/>
    </xf>
    <xf numFmtId="3" fontId="16" fillId="0" borderId="16" xfId="58" applyNumberFormat="1" applyFont="1" applyFill="1" applyBorder="1" applyAlignment="1">
      <alignment horizontal="center" vertical="center"/>
      <protection/>
    </xf>
    <xf numFmtId="3" fontId="16" fillId="0" borderId="39" xfId="58" applyNumberFormat="1" applyFont="1" applyFill="1" applyBorder="1" applyAlignment="1">
      <alignment horizontal="center" vertical="center"/>
      <protection/>
    </xf>
    <xf numFmtId="0" fontId="16" fillId="0" borderId="38" xfId="58" applyFont="1" applyFill="1" applyBorder="1" applyAlignment="1">
      <alignment horizontal="center" vertical="center"/>
      <protection/>
    </xf>
    <xf numFmtId="0" fontId="16" fillId="0" borderId="16" xfId="58" applyFont="1" applyFill="1" applyBorder="1" applyAlignment="1">
      <alignment horizontal="center" vertical="center"/>
      <protection/>
    </xf>
    <xf numFmtId="0" fontId="16" fillId="0" borderId="39" xfId="58" applyFont="1" applyFill="1" applyBorder="1" applyAlignment="1">
      <alignment horizontal="center" vertical="center"/>
      <protection/>
    </xf>
    <xf numFmtId="0" fontId="12" fillId="0" borderId="11" xfId="58" applyFont="1" applyFill="1" applyBorder="1" applyAlignment="1">
      <alignment horizontal="center" vertical="center"/>
      <protection/>
    </xf>
    <xf numFmtId="0" fontId="12" fillId="0" borderId="45" xfId="58" applyFont="1" applyFill="1" applyBorder="1" applyAlignment="1">
      <alignment horizontal="center" vertical="center"/>
      <protection/>
    </xf>
    <xf numFmtId="0" fontId="14" fillId="0" borderId="0" xfId="58" applyFont="1" applyFill="1" applyAlignment="1">
      <alignment horizontal="center" vertical="center"/>
      <protection/>
    </xf>
    <xf numFmtId="0" fontId="12" fillId="0" borderId="34" xfId="58" applyFont="1" applyFill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45" xfId="58" applyFont="1" applyFill="1" applyBorder="1" applyAlignment="1">
      <alignment horizontal="center" vertic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7" fillId="0" borderId="0" xfId="58" applyFont="1" applyAlignment="1">
      <alignment horizontal="right"/>
      <protection/>
    </xf>
    <xf numFmtId="0" fontId="17" fillId="0" borderId="10" xfId="58" applyFont="1" applyBorder="1" applyAlignment="1">
      <alignment horizontal="right"/>
      <protection/>
    </xf>
    <xf numFmtId="3" fontId="85" fillId="0" borderId="0" xfId="58" applyNumberFormat="1" applyFont="1" applyAlignment="1">
      <alignment horizontal="right"/>
      <protection/>
    </xf>
    <xf numFmtId="0" fontId="72" fillId="0" borderId="0" xfId="58" applyFont="1" applyAlignment="1">
      <alignment horizontal="center"/>
      <protection/>
    </xf>
    <xf numFmtId="0" fontId="73" fillId="0" borderId="0" xfId="58" applyFont="1" applyAlignment="1">
      <alignment horizontal="center"/>
      <protection/>
    </xf>
    <xf numFmtId="0" fontId="19" fillId="0" borderId="0" xfId="58" applyFont="1" applyAlignment="1">
      <alignment horizontal="center"/>
      <protection/>
    </xf>
    <xf numFmtId="166" fontId="74" fillId="0" borderId="34" xfId="60" applyNumberFormat="1" applyFont="1" applyBorder="1" applyAlignment="1">
      <alignment horizontal="center" vertical="center" wrapText="1"/>
      <protection/>
    </xf>
    <xf numFmtId="3" fontId="74" fillId="0" borderId="38" xfId="60" applyNumberFormat="1" applyFont="1" applyBorder="1" applyAlignment="1">
      <alignment horizontal="center" vertical="center" wrapText="1"/>
      <protection/>
    </xf>
    <xf numFmtId="3" fontId="74" fillId="0" borderId="16" xfId="60" applyNumberFormat="1" applyFont="1" applyBorder="1" applyAlignment="1">
      <alignment horizontal="center" vertical="center" wrapText="1"/>
      <protection/>
    </xf>
    <xf numFmtId="3" fontId="74" fillId="0" borderId="39" xfId="60" applyNumberFormat="1" applyFont="1" applyBorder="1" applyAlignment="1">
      <alignment horizontal="center" vertical="center" wrapText="1"/>
      <protection/>
    </xf>
    <xf numFmtId="3" fontId="85" fillId="0" borderId="10" xfId="58" applyNumberFormat="1" applyFont="1" applyBorder="1" applyAlignment="1">
      <alignment horizontal="right"/>
      <protection/>
    </xf>
    <xf numFmtId="0" fontId="75" fillId="0" borderId="47" xfId="60" applyFont="1" applyFill="1" applyBorder="1" applyAlignment="1">
      <alignment horizontal="left"/>
      <protection/>
    </xf>
    <xf numFmtId="0" fontId="75" fillId="0" borderId="30" xfId="60" applyFont="1" applyFill="1" applyBorder="1" applyAlignment="1">
      <alignment horizontal="left"/>
      <protection/>
    </xf>
    <xf numFmtId="0" fontId="77" fillId="0" borderId="34" xfId="60" applyFont="1" applyBorder="1" applyAlignment="1">
      <alignment horizontal="center" vertical="center" wrapText="1"/>
      <protection/>
    </xf>
    <xf numFmtId="0" fontId="75" fillId="0" borderId="58" xfId="60" applyFont="1" applyFill="1" applyBorder="1" applyAlignment="1">
      <alignment horizontal="left" vertical="center" wrapText="1"/>
      <protection/>
    </xf>
    <xf numFmtId="0" fontId="75" fillId="0" borderId="30" xfId="60" applyFont="1" applyFill="1" applyBorder="1" applyAlignment="1">
      <alignment horizontal="left" vertical="center" wrapText="1"/>
      <protection/>
    </xf>
    <xf numFmtId="166" fontId="75" fillId="0" borderId="30" xfId="60" applyNumberFormat="1" applyFont="1" applyBorder="1" applyAlignment="1">
      <alignment horizontal="left" wrapText="1"/>
      <protection/>
    </xf>
    <xf numFmtId="166" fontId="75" fillId="0" borderId="58" xfId="60" applyNumberFormat="1" applyFont="1" applyBorder="1" applyAlignment="1">
      <alignment horizontal="left" wrapText="1"/>
      <protection/>
    </xf>
    <xf numFmtId="166" fontId="75" fillId="0" borderId="66" xfId="60" applyNumberFormat="1" applyFont="1" applyBorder="1" applyAlignment="1">
      <alignment horizontal="left" wrapText="1"/>
      <protection/>
    </xf>
    <xf numFmtId="166" fontId="75" fillId="0" borderId="59" xfId="60" applyNumberFormat="1" applyFont="1" applyBorder="1" applyAlignment="1">
      <alignment horizontal="left" wrapText="1"/>
      <protection/>
    </xf>
    <xf numFmtId="3" fontId="85" fillId="0" borderId="0" xfId="58" applyNumberFormat="1" applyFont="1" applyAlignment="1">
      <alignment horizontal="right" vertical="center"/>
      <protection/>
    </xf>
    <xf numFmtId="0" fontId="78" fillId="0" borderId="0" xfId="58" applyFont="1" applyAlignment="1">
      <alignment horizontal="center" vertical="center" wrapText="1"/>
      <protection/>
    </xf>
    <xf numFmtId="0" fontId="78" fillId="0" borderId="0" xfId="58" applyFont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76" fillId="0" borderId="0" xfId="58" applyFont="1" applyAlignment="1">
      <alignment horizontal="center" vertical="center"/>
      <protection/>
    </xf>
    <xf numFmtId="0" fontId="23" fillId="34" borderId="71" xfId="58" applyFont="1" applyFill="1" applyBorder="1" applyAlignment="1">
      <alignment horizontal="center" vertical="center" wrapText="1"/>
      <protection/>
    </xf>
    <xf numFmtId="0" fontId="23" fillId="34" borderId="20" xfId="58" applyFont="1" applyFill="1" applyBorder="1" applyAlignment="1">
      <alignment horizontal="center" vertical="center" wrapText="1"/>
      <protection/>
    </xf>
    <xf numFmtId="0" fontId="23" fillId="34" borderId="78" xfId="58" applyFont="1" applyFill="1" applyBorder="1" applyAlignment="1">
      <alignment horizontal="center" vertical="center" wrapText="1"/>
      <protection/>
    </xf>
    <xf numFmtId="0" fontId="23" fillId="34" borderId="37" xfId="58" applyFont="1" applyFill="1" applyBorder="1" applyAlignment="1">
      <alignment horizontal="center" vertical="center" wrapText="1"/>
      <protection/>
    </xf>
    <xf numFmtId="0" fontId="23" fillId="34" borderId="27" xfId="58" applyFont="1" applyFill="1" applyBorder="1" applyAlignment="1">
      <alignment horizontal="center" vertical="center" wrapText="1"/>
      <protection/>
    </xf>
    <xf numFmtId="0" fontId="23" fillId="34" borderId="90" xfId="58" applyFont="1" applyFill="1" applyBorder="1" applyAlignment="1">
      <alignment horizontal="center" vertical="center" wrapText="1"/>
      <protection/>
    </xf>
    <xf numFmtId="3" fontId="23" fillId="34" borderId="63" xfId="58" applyNumberFormat="1" applyFont="1" applyFill="1" applyBorder="1" applyAlignment="1">
      <alignment horizontal="center" vertical="center" wrapText="1"/>
      <protection/>
    </xf>
    <xf numFmtId="3" fontId="23" fillId="34" borderId="60" xfId="58" applyNumberFormat="1" applyFont="1" applyFill="1" applyBorder="1" applyAlignment="1">
      <alignment horizontal="center" vertical="center" wrapText="1"/>
      <protection/>
    </xf>
    <xf numFmtId="3" fontId="23" fillId="34" borderId="50" xfId="58" applyNumberFormat="1" applyFont="1" applyFill="1" applyBorder="1" applyAlignment="1">
      <alignment horizontal="center" vertical="center" wrapText="1"/>
      <protection/>
    </xf>
    <xf numFmtId="3" fontId="23" fillId="34" borderId="87" xfId="58" applyNumberFormat="1" applyFont="1" applyFill="1" applyBorder="1" applyAlignment="1">
      <alignment horizontal="center" vertical="center" wrapText="1"/>
      <protection/>
    </xf>
    <xf numFmtId="3" fontId="23" fillId="34" borderId="0" xfId="58" applyNumberFormat="1" applyFont="1" applyFill="1" applyBorder="1" applyAlignment="1">
      <alignment horizontal="center" vertical="center" wrapText="1"/>
      <protection/>
    </xf>
    <xf numFmtId="3" fontId="23" fillId="34" borderId="81" xfId="58" applyNumberFormat="1" applyFont="1" applyFill="1" applyBorder="1" applyAlignment="1">
      <alignment horizontal="center" vertical="center" wrapText="1"/>
      <protection/>
    </xf>
    <xf numFmtId="3" fontId="23" fillId="34" borderId="91" xfId="58" applyNumberFormat="1" applyFont="1" applyFill="1" applyBorder="1" applyAlignment="1">
      <alignment horizontal="center" vertical="center" wrapText="1"/>
      <protection/>
    </xf>
    <xf numFmtId="3" fontId="23" fillId="34" borderId="92" xfId="58" applyNumberFormat="1" applyFont="1" applyFill="1" applyBorder="1" applyAlignment="1">
      <alignment horizontal="center" vertical="center" wrapText="1"/>
      <protection/>
    </xf>
    <xf numFmtId="3" fontId="23" fillId="34" borderId="93" xfId="58" applyNumberFormat="1" applyFont="1" applyFill="1" applyBorder="1" applyAlignment="1">
      <alignment horizontal="center" vertical="center" wrapText="1"/>
      <protection/>
    </xf>
    <xf numFmtId="3" fontId="23" fillId="34" borderId="67" xfId="58" applyNumberFormat="1" applyFont="1" applyFill="1" applyBorder="1" applyAlignment="1">
      <alignment horizontal="center" vertical="center" wrapText="1"/>
      <protection/>
    </xf>
    <xf numFmtId="3" fontId="23" fillId="34" borderId="80" xfId="58" applyNumberFormat="1" applyFont="1" applyFill="1" applyBorder="1" applyAlignment="1">
      <alignment horizontal="center" vertical="center" wrapText="1"/>
      <protection/>
    </xf>
    <xf numFmtId="3" fontId="23" fillId="34" borderId="94" xfId="58" applyNumberFormat="1" applyFont="1" applyFill="1" applyBorder="1" applyAlignment="1">
      <alignment horizontal="center" vertical="center" wrapText="1"/>
      <protection/>
    </xf>
    <xf numFmtId="0" fontId="78" fillId="0" borderId="10" xfId="58" applyFont="1" applyBorder="1" applyAlignment="1">
      <alignment horizontal="center" vertical="center" wrapText="1"/>
      <protection/>
    </xf>
    <xf numFmtId="0" fontId="21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2" fillId="1" borderId="44" xfId="58" applyFont="1" applyFill="1" applyBorder="1" applyAlignment="1">
      <alignment horizontal="center" vertical="center" wrapText="1"/>
      <protection/>
    </xf>
    <xf numFmtId="0" fontId="12" fillId="1" borderId="24" xfId="58" applyFont="1" applyFill="1" applyBorder="1" applyAlignment="1">
      <alignment horizontal="center" vertical="center" wrapText="1"/>
      <protection/>
    </xf>
    <xf numFmtId="0" fontId="12" fillId="1" borderId="64" xfId="58" applyFont="1" applyFill="1" applyBorder="1" applyAlignment="1">
      <alignment horizontal="center" vertical="center"/>
      <protection/>
    </xf>
    <xf numFmtId="0" fontId="12" fillId="1" borderId="47" xfId="58" applyFont="1" applyFill="1" applyBorder="1" applyAlignment="1">
      <alignment horizontal="center" vertical="center"/>
      <protection/>
    </xf>
    <xf numFmtId="0" fontId="12" fillId="1" borderId="15" xfId="58" applyFont="1" applyFill="1" applyBorder="1" applyAlignment="1">
      <alignment horizontal="center" vertical="center"/>
      <protection/>
    </xf>
    <xf numFmtId="0" fontId="12" fillId="1" borderId="17" xfId="58" applyFont="1" applyFill="1" applyBorder="1" applyAlignment="1">
      <alignment horizontal="center" vertical="center"/>
      <protection/>
    </xf>
    <xf numFmtId="0" fontId="12" fillId="1" borderId="41" xfId="58" applyFont="1" applyFill="1" applyBorder="1" applyAlignment="1">
      <alignment horizontal="center" vertical="center"/>
      <protection/>
    </xf>
    <xf numFmtId="0" fontId="12" fillId="1" borderId="58" xfId="58" applyFont="1" applyFill="1" applyBorder="1" applyAlignment="1">
      <alignment horizontal="center" vertical="center"/>
      <protection/>
    </xf>
    <xf numFmtId="0" fontId="12" fillId="1" borderId="30" xfId="58" applyFont="1" applyFill="1" applyBorder="1" applyAlignment="1">
      <alignment horizontal="center" vertical="center"/>
      <protection/>
    </xf>
    <xf numFmtId="0" fontId="12" fillId="1" borderId="82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12" fillId="1" borderId="22" xfId="58" applyFont="1" applyFill="1" applyBorder="1" applyAlignment="1">
      <alignment horizontal="center" vertical="center"/>
      <protection/>
    </xf>
    <xf numFmtId="0" fontId="14" fillId="0" borderId="0" xfId="58" applyFont="1" applyAlignment="1">
      <alignment horizontal="center" wrapText="1"/>
      <protection/>
    </xf>
    <xf numFmtId="0" fontId="12" fillId="1" borderId="23" xfId="58" applyFont="1" applyFill="1" applyBorder="1" applyAlignment="1">
      <alignment horizontal="center" vertical="center"/>
      <protection/>
    </xf>
    <xf numFmtId="0" fontId="89" fillId="0" borderId="0" xfId="58" applyFont="1" applyAlignment="1">
      <alignment horizontal="right"/>
      <protection/>
    </xf>
    <xf numFmtId="0" fontId="46" fillId="0" borderId="38" xfId="61" applyFont="1" applyFill="1" applyBorder="1" applyAlignment="1" applyProtection="1">
      <alignment horizontal="left" vertical="center"/>
      <protection/>
    </xf>
    <xf numFmtId="0" fontId="46" fillId="0" borderId="16" xfId="61" applyFont="1" applyFill="1" applyBorder="1" applyAlignment="1" applyProtection="1">
      <alignment horizontal="left" vertical="center"/>
      <protection/>
    </xf>
    <xf numFmtId="0" fontId="45" fillId="0" borderId="60" xfId="61" applyFont="1" applyFill="1" applyBorder="1" applyAlignment="1">
      <alignment horizontal="justify" vertical="center" wrapText="1"/>
      <protection/>
    </xf>
    <xf numFmtId="0" fontId="44" fillId="0" borderId="10" xfId="0" applyFont="1" applyFill="1" applyBorder="1" applyAlignment="1" applyProtection="1">
      <alignment horizontal="right" vertical="center"/>
      <protection/>
    </xf>
    <xf numFmtId="167" fontId="81" fillId="0" borderId="0" xfId="61" applyNumberFormat="1" applyFont="1" applyFill="1" applyBorder="1" applyAlignment="1" applyProtection="1">
      <alignment horizontal="center" vertical="center" wrapText="1"/>
      <protection/>
    </xf>
    <xf numFmtId="0" fontId="43" fillId="0" borderId="0" xfId="61" applyFont="1" applyFill="1" applyAlignment="1">
      <alignment horizontal="right" vertical="center"/>
      <protection/>
    </xf>
    <xf numFmtId="3" fontId="46" fillId="0" borderId="0" xfId="62" applyNumberFormat="1" applyFont="1" applyFill="1" applyAlignment="1" applyProtection="1">
      <alignment horizontal="center" wrapText="1"/>
      <protection/>
    </xf>
    <xf numFmtId="3" fontId="46" fillId="0" borderId="0" xfId="62" applyNumberFormat="1" applyFont="1" applyFill="1" applyAlignment="1" applyProtection="1">
      <alignment horizontal="center"/>
      <protection/>
    </xf>
    <xf numFmtId="3" fontId="60" fillId="0" borderId="54" xfId="62" applyNumberFormat="1" applyFont="1" applyFill="1" applyBorder="1" applyAlignment="1" applyProtection="1">
      <alignment horizontal="left" vertical="center" indent="1"/>
      <protection/>
    </xf>
    <xf numFmtId="3" fontId="60" fillId="0" borderId="34" xfId="62" applyNumberFormat="1" applyFont="1" applyFill="1" applyBorder="1" applyAlignment="1" applyProtection="1">
      <alignment horizontal="left" vertical="center" indent="1"/>
      <protection/>
    </xf>
    <xf numFmtId="3" fontId="60" fillId="0" borderId="46" xfId="62" applyNumberFormat="1" applyFont="1" applyFill="1" applyBorder="1" applyAlignment="1" applyProtection="1">
      <alignment horizontal="left" vertical="center" indent="1"/>
      <protection/>
    </xf>
    <xf numFmtId="3" fontId="83" fillId="0" borderId="0" xfId="62" applyNumberFormat="1" applyFont="1" applyFill="1" applyAlignment="1" applyProtection="1">
      <alignment horizontal="right"/>
      <protection locked="0"/>
    </xf>
    <xf numFmtId="10" fontId="1" fillId="0" borderId="25" xfId="57" applyNumberFormat="1" applyFont="1" applyBorder="1" applyAlignment="1">
      <alignment horizontal="center"/>
      <protection/>
    </xf>
    <xf numFmtId="10" fontId="1" fillId="0" borderId="27" xfId="57" applyNumberFormat="1" applyFont="1" applyBorder="1" applyAlignment="1">
      <alignment horizontal="center"/>
      <protection/>
    </xf>
    <xf numFmtId="10" fontId="1" fillId="0" borderId="42" xfId="57" applyNumberFormat="1" applyFont="1" applyBorder="1" applyAlignment="1">
      <alignment horizontal="center"/>
      <protection/>
    </xf>
    <xf numFmtId="10" fontId="66" fillId="0" borderId="37" xfId="57" applyNumberFormat="1" applyFont="1" applyBorder="1" applyAlignment="1">
      <alignment horizontal="center"/>
      <protection/>
    </xf>
    <xf numFmtId="10" fontId="66" fillId="0" borderId="42" xfId="57" applyNumberFormat="1" applyFont="1" applyBorder="1" applyAlignment="1">
      <alignment horizontal="center"/>
      <protection/>
    </xf>
    <xf numFmtId="10" fontId="66" fillId="0" borderId="37" xfId="57" applyNumberFormat="1" applyFont="1" applyFill="1" applyBorder="1" applyAlignment="1">
      <alignment horizontal="center"/>
      <protection/>
    </xf>
    <xf numFmtId="10" fontId="66" fillId="0" borderId="27" xfId="57" applyNumberFormat="1" applyFont="1" applyFill="1" applyBorder="1" applyAlignment="1">
      <alignment horizontal="center"/>
      <protection/>
    </xf>
    <xf numFmtId="10" fontId="66" fillId="0" borderId="42" xfId="57" applyNumberFormat="1" applyFont="1" applyFill="1" applyBorder="1" applyAlignment="1">
      <alignment horizontal="center"/>
      <protection/>
    </xf>
    <xf numFmtId="0" fontId="23" fillId="0" borderId="0" xfId="57" applyFont="1" applyFill="1" applyBorder="1" applyAlignment="1" applyProtection="1">
      <alignment horizontal="center" vertical="center" wrapText="1"/>
      <protection/>
    </xf>
    <xf numFmtId="0" fontId="84" fillId="0" borderId="0" xfId="57" applyFont="1" applyFill="1" applyAlignment="1">
      <alignment horizontal="right" vertical="center"/>
      <protection/>
    </xf>
    <xf numFmtId="0" fontId="84" fillId="0" borderId="10" xfId="57" applyFont="1" applyFill="1" applyBorder="1" applyAlignment="1">
      <alignment horizontal="right"/>
      <protection/>
    </xf>
    <xf numFmtId="167" fontId="62" fillId="0" borderId="0" xfId="0" applyNumberFormat="1" applyFont="1" applyFill="1" applyAlignment="1">
      <alignment horizontal="right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_-_II_Tajekoztato_tablak" xfId="57"/>
    <cellStyle name="Normál_2007. év költségvetés terv 1.mellékletek" xfId="58"/>
    <cellStyle name="Normál_2008. év költségvetés terv 1. sz. melléklet" xfId="59"/>
    <cellStyle name="Normál_Dologi kiadás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"/>
  <sheetViews>
    <sheetView zoomScale="70" zoomScaleNormal="70" workbookViewId="0" topLeftCell="A44">
      <selection activeCell="J57" sqref="J57"/>
    </sheetView>
  </sheetViews>
  <sheetFormatPr defaultColWidth="9.140625" defaultRowHeight="12.75"/>
  <cols>
    <col min="1" max="2" width="5.7109375" style="86" customWidth="1"/>
    <col min="3" max="3" width="8.8515625" style="86" customWidth="1"/>
    <col min="4" max="4" width="61.7109375" style="20" customWidth="1"/>
    <col min="5" max="5" width="24.28125" style="315" customWidth="1"/>
    <col min="6" max="6" width="19.140625" style="315" hidden="1" customWidth="1"/>
    <col min="7" max="9" width="16.7109375" style="315" hidden="1" customWidth="1"/>
    <col min="10" max="10" width="16.7109375" style="315" customWidth="1"/>
    <col min="11" max="11" width="16.7109375" style="316" customWidth="1"/>
    <col min="12" max="12" width="19.140625" style="316" hidden="1" customWidth="1"/>
    <col min="13" max="13" width="18.7109375" style="316" hidden="1" customWidth="1"/>
    <col min="14" max="14" width="17.421875" style="316" hidden="1" customWidth="1"/>
    <col min="15" max="15" width="16.140625" style="316" hidden="1" customWidth="1"/>
    <col min="16" max="16" width="16.28125" style="316" customWidth="1"/>
    <col min="17" max="17" width="11.57421875" style="316" hidden="1" customWidth="1"/>
    <col min="18" max="18" width="17.140625" style="317" customWidth="1"/>
    <col min="19" max="19" width="14.8515625" style="316" hidden="1" customWidth="1"/>
    <col min="20" max="20" width="15.00390625" style="316" hidden="1" customWidth="1"/>
    <col min="21" max="21" width="14.421875" style="316" hidden="1" customWidth="1"/>
    <col min="22" max="22" width="15.00390625" style="317" hidden="1" customWidth="1"/>
    <col min="23" max="23" width="15.421875" style="317" customWidth="1"/>
    <col min="24" max="24" width="15.00390625" style="317" customWidth="1"/>
    <col min="25" max="25" width="15.421875" style="317" hidden="1" customWidth="1"/>
    <col min="26" max="26" width="18.140625" style="317" hidden="1" customWidth="1"/>
    <col min="27" max="27" width="16.8515625" style="317" hidden="1" customWidth="1"/>
    <col min="28" max="28" width="15.00390625" style="317" hidden="1" customWidth="1"/>
    <col min="29" max="29" width="15.7109375" style="317" customWidth="1"/>
    <col min="30" max="30" width="9.140625" style="317" hidden="1" customWidth="1"/>
    <col min="31" max="31" width="16.28125" style="317" customWidth="1"/>
    <col min="32" max="16384" width="9.140625" style="317" customWidth="1"/>
  </cols>
  <sheetData>
    <row r="1" spans="1:28" ht="12.75">
      <c r="A1" s="83"/>
      <c r="B1" s="83"/>
      <c r="C1" s="83"/>
      <c r="D1" s="84"/>
      <c r="O1" s="1124" t="s">
        <v>640</v>
      </c>
      <c r="P1" s="1125"/>
      <c r="Q1" s="1125"/>
      <c r="R1" s="1125"/>
      <c r="S1" s="1125"/>
      <c r="T1" s="1125"/>
      <c r="U1" s="1125"/>
      <c r="V1" s="1125"/>
      <c r="W1" s="1125"/>
      <c r="X1" s="1125"/>
      <c r="Y1" s="1125"/>
      <c r="Z1" s="1125"/>
      <c r="AA1" s="1125"/>
      <c r="AB1" s="1125"/>
    </row>
    <row r="2" spans="1:21" s="319" customFormat="1" ht="34.5" customHeight="1">
      <c r="A2" s="1105" t="s">
        <v>560</v>
      </c>
      <c r="B2" s="1105"/>
      <c r="C2" s="1105"/>
      <c r="D2" s="1105"/>
      <c r="E2" s="1105"/>
      <c r="F2" s="1105"/>
      <c r="G2" s="1105"/>
      <c r="H2" s="1105"/>
      <c r="I2" s="1105"/>
      <c r="J2" s="1105"/>
      <c r="K2" s="1105"/>
      <c r="L2" s="1105"/>
      <c r="M2" s="1105"/>
      <c r="N2" s="1105"/>
      <c r="O2" s="1105"/>
      <c r="P2" s="1105"/>
      <c r="Q2" s="1105"/>
      <c r="R2" s="1105"/>
      <c r="S2" s="239"/>
      <c r="T2" s="318"/>
      <c r="U2" s="318"/>
    </row>
    <row r="3" spans="1:18" ht="13.5" thickBot="1">
      <c r="A3" s="85"/>
      <c r="B3" s="85"/>
      <c r="C3" s="85"/>
      <c r="D3" s="81"/>
      <c r="K3" s="67"/>
      <c r="L3" s="67"/>
      <c r="M3" s="67"/>
      <c r="N3" s="67"/>
      <c r="O3" s="67"/>
      <c r="P3" s="67"/>
      <c r="Q3" s="67"/>
      <c r="R3" s="38" t="s">
        <v>461</v>
      </c>
    </row>
    <row r="4" spans="1:30" ht="45.75" customHeight="1" thickBot="1">
      <c r="A4" s="1106" t="s">
        <v>6</v>
      </c>
      <c r="B4" s="1107"/>
      <c r="C4" s="1107"/>
      <c r="D4" s="320" t="s">
        <v>9</v>
      </c>
      <c r="E4" s="1109" t="s">
        <v>5</v>
      </c>
      <c r="F4" s="1110"/>
      <c r="G4" s="1110"/>
      <c r="H4" s="1110"/>
      <c r="I4" s="1110"/>
      <c r="J4" s="1111"/>
      <c r="K4" s="1109" t="s">
        <v>61</v>
      </c>
      <c r="L4" s="1110"/>
      <c r="M4" s="1110"/>
      <c r="N4" s="1110"/>
      <c r="O4" s="1110"/>
      <c r="P4" s="1110"/>
      <c r="Q4" s="1111"/>
      <c r="R4" s="1109" t="s">
        <v>62</v>
      </c>
      <c r="S4" s="1110"/>
      <c r="T4" s="1110"/>
      <c r="U4" s="1110"/>
      <c r="V4" s="1110"/>
      <c r="W4" s="1111"/>
      <c r="X4" s="1109" t="s">
        <v>66</v>
      </c>
      <c r="Y4" s="1110"/>
      <c r="Z4" s="1110"/>
      <c r="AA4" s="1110"/>
      <c r="AB4" s="1110"/>
      <c r="AC4" s="1110"/>
      <c r="AD4" s="1111"/>
    </row>
    <row r="5" spans="1:29" ht="45.75" customHeight="1" thickBot="1">
      <c r="A5" s="302"/>
      <c r="B5" s="303"/>
      <c r="C5" s="303"/>
      <c r="D5" s="320"/>
      <c r="E5" s="354" t="s">
        <v>65</v>
      </c>
      <c r="F5" s="355" t="s">
        <v>228</v>
      </c>
      <c r="G5" s="355" t="s">
        <v>233</v>
      </c>
      <c r="H5" s="355" t="s">
        <v>235</v>
      </c>
      <c r="I5" s="355" t="s">
        <v>450</v>
      </c>
      <c r="J5" s="356" t="s">
        <v>455</v>
      </c>
      <c r="K5" s="354" t="s">
        <v>65</v>
      </c>
      <c r="L5" s="355" t="s">
        <v>228</v>
      </c>
      <c r="M5" s="355" t="s">
        <v>233</v>
      </c>
      <c r="N5" s="355" t="s">
        <v>235</v>
      </c>
      <c r="O5" s="355" t="s">
        <v>450</v>
      </c>
      <c r="P5" s="355" t="s">
        <v>455</v>
      </c>
      <c r="Q5" s="356" t="s">
        <v>445</v>
      </c>
      <c r="R5" s="354" t="s">
        <v>65</v>
      </c>
      <c r="S5" s="355" t="s">
        <v>228</v>
      </c>
      <c r="T5" s="355" t="s">
        <v>233</v>
      </c>
      <c r="U5" s="355" t="s">
        <v>235</v>
      </c>
      <c r="V5" s="355" t="s">
        <v>450</v>
      </c>
      <c r="W5" s="356" t="s">
        <v>455</v>
      </c>
      <c r="X5" s="354" t="s">
        <v>65</v>
      </c>
      <c r="Y5" s="355" t="s">
        <v>228</v>
      </c>
      <c r="Z5" s="355" t="s">
        <v>233</v>
      </c>
      <c r="AA5" s="355" t="s">
        <v>235</v>
      </c>
      <c r="AB5" s="355" t="s">
        <v>450</v>
      </c>
      <c r="AC5" s="356" t="s">
        <v>455</v>
      </c>
    </row>
    <row r="6" spans="1:29" s="7" customFormat="1" ht="21.75" customHeight="1" thickBot="1">
      <c r="A6" s="96"/>
      <c r="B6" s="1108"/>
      <c r="C6" s="1108"/>
      <c r="D6" s="1108"/>
      <c r="E6" s="357"/>
      <c r="F6" s="280"/>
      <c r="G6" s="280"/>
      <c r="H6" s="280"/>
      <c r="I6" s="280"/>
      <c r="J6" s="729"/>
      <c r="K6" s="357"/>
      <c r="L6" s="280"/>
      <c r="M6" s="280"/>
      <c r="N6" s="280"/>
      <c r="O6" s="280"/>
      <c r="P6" s="280"/>
      <c r="Q6" s="729"/>
      <c r="R6" s="357"/>
      <c r="S6" s="280"/>
      <c r="T6" s="280"/>
      <c r="U6" s="280"/>
      <c r="V6" s="280"/>
      <c r="W6" s="729"/>
      <c r="X6" s="357"/>
      <c r="Y6" s="280"/>
      <c r="Z6" s="280"/>
      <c r="AA6" s="280"/>
      <c r="AC6" s="729"/>
    </row>
    <row r="7" spans="1:31" s="7" customFormat="1" ht="21.75" customHeight="1" thickBot="1">
      <c r="A7" s="96" t="s">
        <v>27</v>
      </c>
      <c r="B7" s="1108" t="s">
        <v>286</v>
      </c>
      <c r="C7" s="1108"/>
      <c r="D7" s="1108"/>
      <c r="E7" s="357">
        <f aca="true" t="shared" si="0" ref="E7:N7">E8+E13+E16+E17+E20</f>
        <v>171760000</v>
      </c>
      <c r="F7" s="280">
        <f t="shared" si="0"/>
        <v>171760000</v>
      </c>
      <c r="G7" s="280">
        <f>G8+G13+G16+G17+G20</f>
        <v>174481890</v>
      </c>
      <c r="H7" s="280">
        <f>H8+H13+H16+H17+H20</f>
        <v>174481890</v>
      </c>
      <c r="I7" s="280">
        <f>I8+I13+I16+I17+I20</f>
        <v>174992890</v>
      </c>
      <c r="J7" s="280">
        <f>J8+J13+J16+J17+J20</f>
        <v>189188503</v>
      </c>
      <c r="K7" s="357">
        <f t="shared" si="0"/>
        <v>150814518</v>
      </c>
      <c r="L7" s="280">
        <f t="shared" si="0"/>
        <v>148824015</v>
      </c>
      <c r="M7" s="280">
        <f>M8+M13+M16+M17+M20</f>
        <v>151701162</v>
      </c>
      <c r="N7" s="280">
        <f t="shared" si="0"/>
        <v>151701159</v>
      </c>
      <c r="O7" s="280">
        <f>O8+O13+O16+O17+O20</f>
        <v>152142156</v>
      </c>
      <c r="P7" s="280">
        <f>P8+P13+P16+P17+P20</f>
        <v>169418872</v>
      </c>
      <c r="Q7" s="730">
        <f>P7/N7</f>
        <v>1.1167935242999694</v>
      </c>
      <c r="R7" s="357">
        <f aca="true" t="shared" si="1" ref="R7:W7">R8+R13+R16+R17+R20</f>
        <v>20945482</v>
      </c>
      <c r="S7" s="280">
        <f t="shared" si="1"/>
        <v>22935985</v>
      </c>
      <c r="T7" s="280">
        <f t="shared" si="1"/>
        <v>22780728</v>
      </c>
      <c r="U7" s="280">
        <f t="shared" si="1"/>
        <v>22780731</v>
      </c>
      <c r="V7" s="280">
        <f t="shared" si="1"/>
        <v>22850734</v>
      </c>
      <c r="W7" s="280">
        <f t="shared" si="1"/>
        <v>19769631</v>
      </c>
      <c r="X7" s="357">
        <f aca="true" t="shared" si="2" ref="X7:AD7">X8+X13+X16+X17+X20</f>
        <v>5610894</v>
      </c>
      <c r="Y7" s="357">
        <f t="shared" si="2"/>
        <v>5610894</v>
      </c>
      <c r="Z7" s="357">
        <f t="shared" si="2"/>
        <v>5610894</v>
      </c>
      <c r="AA7" s="357">
        <f t="shared" si="2"/>
        <v>5610894</v>
      </c>
      <c r="AB7" s="357">
        <f t="shared" si="2"/>
        <v>5610894</v>
      </c>
      <c r="AC7" s="357">
        <f t="shared" si="2"/>
        <v>5610894</v>
      </c>
      <c r="AD7" s="357">
        <f t="shared" si="2"/>
        <v>5610894</v>
      </c>
      <c r="AE7" s="1074"/>
    </row>
    <row r="8" spans="1:31" ht="21.75" customHeight="1">
      <c r="A8" s="602"/>
      <c r="B8" s="241" t="s">
        <v>36</v>
      </c>
      <c r="C8" s="1126" t="s">
        <v>287</v>
      </c>
      <c r="D8" s="1126"/>
      <c r="E8" s="442">
        <f aca="true" t="shared" si="3" ref="E8:N8">SUM(E9:E12)</f>
        <v>17500000</v>
      </c>
      <c r="F8" s="443">
        <f t="shared" si="3"/>
        <v>17500000</v>
      </c>
      <c r="G8" s="443">
        <f>SUM(G9:G12)</f>
        <v>17500000</v>
      </c>
      <c r="H8" s="443">
        <f>SUM(H9:H12)</f>
        <v>17500000</v>
      </c>
      <c r="I8" s="443">
        <f>SUM(I9:I12)</f>
        <v>17500000</v>
      </c>
      <c r="J8" s="443">
        <f>SUM(J9:J12)</f>
        <v>19179992</v>
      </c>
      <c r="K8" s="442">
        <f t="shared" si="3"/>
        <v>17500000</v>
      </c>
      <c r="L8" s="443">
        <f t="shared" si="3"/>
        <v>17500000</v>
      </c>
      <c r="M8" s="443">
        <f>SUM(M9:M12)</f>
        <v>17500000</v>
      </c>
      <c r="N8" s="443">
        <f t="shared" si="3"/>
        <v>17500000</v>
      </c>
      <c r="O8" s="443">
        <f>SUM(O9:O12)</f>
        <v>17500000</v>
      </c>
      <c r="P8" s="443">
        <f>SUM(P9:P12)</f>
        <v>19179992</v>
      </c>
      <c r="Q8" s="731">
        <f>P8/N8</f>
        <v>1.095999542857143</v>
      </c>
      <c r="R8" s="442">
        <v>0</v>
      </c>
      <c r="S8" s="443"/>
      <c r="T8" s="443"/>
      <c r="U8" s="443"/>
      <c r="V8" s="443"/>
      <c r="W8" s="443"/>
      <c r="X8" s="442">
        <v>0</v>
      </c>
      <c r="Y8" s="442">
        <v>0</v>
      </c>
      <c r="Z8" s="442">
        <v>0</v>
      </c>
      <c r="AA8" s="442">
        <v>0</v>
      </c>
      <c r="AB8" s="442">
        <v>0</v>
      </c>
      <c r="AC8" s="442">
        <v>0</v>
      </c>
      <c r="AD8" s="442">
        <v>0</v>
      </c>
      <c r="AE8" s="1074"/>
    </row>
    <row r="9" spans="1:31" ht="21.75" customHeight="1">
      <c r="A9" s="93"/>
      <c r="B9" s="89"/>
      <c r="C9" s="89" t="s">
        <v>292</v>
      </c>
      <c r="D9" s="321" t="s">
        <v>288</v>
      </c>
      <c r="E9" s="359">
        <f>'3.sz.m Önk  bev.'!E9</f>
        <v>0</v>
      </c>
      <c r="F9" s="282">
        <f>'3.sz.m Önk  bev.'!F9</f>
        <v>0</v>
      </c>
      <c r="G9" s="282">
        <f>'3.sz.m Önk  bev.'!G9</f>
        <v>0</v>
      </c>
      <c r="H9" s="282">
        <f>'3.sz.m Önk  bev.'!H9</f>
        <v>0</v>
      </c>
      <c r="I9" s="282">
        <f>'3.sz.m Önk  bev.'!I9</f>
        <v>0</v>
      </c>
      <c r="J9" s="282">
        <f>'3.sz.m Önk  bev.'!J9</f>
        <v>0</v>
      </c>
      <c r="K9" s="359">
        <f>'3.sz.m Önk  bev.'!L9</f>
        <v>0</v>
      </c>
      <c r="L9" s="282">
        <f>'3.sz.m Önk  bev.'!M9</f>
        <v>0</v>
      </c>
      <c r="M9" s="282">
        <f>'3.sz.m Önk  bev.'!N9</f>
        <v>0</v>
      </c>
      <c r="N9" s="282">
        <f>'3.sz.m Önk  bev.'!O9</f>
        <v>0</v>
      </c>
      <c r="O9" s="282">
        <f>'3.sz.m Önk  bev.'!P9</f>
        <v>0</v>
      </c>
      <c r="P9" s="282">
        <f>'3.sz.m Önk  bev.'!Q9</f>
        <v>0</v>
      </c>
      <c r="Q9" s="732"/>
      <c r="R9" s="359">
        <v>0</v>
      </c>
      <c r="S9" s="282"/>
      <c r="T9" s="282"/>
      <c r="U9" s="282"/>
      <c r="V9" s="282"/>
      <c r="W9" s="282"/>
      <c r="X9" s="359">
        <v>0</v>
      </c>
      <c r="Y9" s="359">
        <v>0</v>
      </c>
      <c r="Z9" s="359">
        <v>0</v>
      </c>
      <c r="AA9" s="359">
        <v>0</v>
      </c>
      <c r="AB9" s="359">
        <v>0</v>
      </c>
      <c r="AC9" s="359">
        <v>0</v>
      </c>
      <c r="AD9" s="359">
        <v>0</v>
      </c>
      <c r="AE9" s="1074"/>
    </row>
    <row r="10" spans="1:31" ht="21.75" customHeight="1">
      <c r="A10" s="93"/>
      <c r="B10" s="89"/>
      <c r="C10" s="89" t="s">
        <v>293</v>
      </c>
      <c r="D10" s="321" t="s">
        <v>273</v>
      </c>
      <c r="E10" s="359">
        <f>'3.sz.m Önk  bev.'!E10</f>
        <v>0</v>
      </c>
      <c r="F10" s="282">
        <f>'3.sz.m Önk  bev.'!F10</f>
        <v>0</v>
      </c>
      <c r="G10" s="282">
        <f>'3.sz.m Önk  bev.'!G10</f>
        <v>0</v>
      </c>
      <c r="H10" s="282">
        <f>'3.sz.m Önk  bev.'!H10</f>
        <v>0</v>
      </c>
      <c r="I10" s="282">
        <f>'3.sz.m Önk  bev.'!I10</f>
        <v>0</v>
      </c>
      <c r="J10" s="282">
        <f>'3.sz.m Önk  bev.'!J10</f>
        <v>0</v>
      </c>
      <c r="K10" s="359">
        <f>'3.sz.m Önk  bev.'!L10</f>
        <v>0</v>
      </c>
      <c r="L10" s="282">
        <f>'3.sz.m Önk  bev.'!M10</f>
        <v>0</v>
      </c>
      <c r="M10" s="282">
        <f>'3.sz.m Önk  bev.'!N10</f>
        <v>0</v>
      </c>
      <c r="N10" s="282">
        <f>'3.sz.m Önk  bev.'!O10</f>
        <v>0</v>
      </c>
      <c r="O10" s="282">
        <f>'3.sz.m Önk  bev.'!P10</f>
        <v>0</v>
      </c>
      <c r="P10" s="282">
        <f>'3.sz.m Önk  bev.'!Q10</f>
        <v>0</v>
      </c>
      <c r="Q10" s="732"/>
      <c r="R10" s="359">
        <v>0</v>
      </c>
      <c r="S10" s="282"/>
      <c r="T10" s="282"/>
      <c r="U10" s="282"/>
      <c r="V10" s="282"/>
      <c r="W10" s="282"/>
      <c r="X10" s="359">
        <v>0</v>
      </c>
      <c r="Y10" s="359">
        <v>0</v>
      </c>
      <c r="Z10" s="359">
        <v>0</v>
      </c>
      <c r="AA10" s="359">
        <v>0</v>
      </c>
      <c r="AB10" s="359">
        <v>0</v>
      </c>
      <c r="AC10" s="359">
        <v>0</v>
      </c>
      <c r="AD10" s="359">
        <v>0</v>
      </c>
      <c r="AE10" s="1074"/>
    </row>
    <row r="11" spans="1:31" ht="21.75" customHeight="1">
      <c r="A11" s="93"/>
      <c r="B11" s="89"/>
      <c r="C11" s="89" t="s">
        <v>294</v>
      </c>
      <c r="D11" s="321" t="s">
        <v>272</v>
      </c>
      <c r="E11" s="359">
        <f>'3.sz.m Önk  bev.'!E11</f>
        <v>17500000</v>
      </c>
      <c r="F11" s="282">
        <f>'3.sz.m Önk  bev.'!F11</f>
        <v>17500000</v>
      </c>
      <c r="G11" s="282">
        <f>'3.sz.m Önk  bev.'!G11</f>
        <v>17500000</v>
      </c>
      <c r="H11" s="282">
        <f>'3.sz.m Önk  bev.'!H11</f>
        <v>17500000</v>
      </c>
      <c r="I11" s="282">
        <f>'3.sz.m Önk  bev.'!I11</f>
        <v>17500000</v>
      </c>
      <c r="J11" s="282">
        <f>'3.sz.m Önk  bev.'!J11</f>
        <v>19179992</v>
      </c>
      <c r="K11" s="359">
        <f>'3.sz.m Önk  bev.'!L11</f>
        <v>17500000</v>
      </c>
      <c r="L11" s="282">
        <f>'3.sz.m Önk  bev.'!M11</f>
        <v>17500000</v>
      </c>
      <c r="M11" s="282">
        <f>'3.sz.m Önk  bev.'!N11</f>
        <v>17500000</v>
      </c>
      <c r="N11" s="282">
        <f>'3.sz.m Önk  bev.'!O11</f>
        <v>17500000</v>
      </c>
      <c r="O11" s="282">
        <f>'3.sz.m Önk  bev.'!P11</f>
        <v>17500000</v>
      </c>
      <c r="P11" s="282">
        <f>'3.sz.m Önk  bev.'!Q11</f>
        <v>19179992</v>
      </c>
      <c r="Q11" s="732">
        <f aca="true" t="shared" si="4" ref="Q11:Q64">P11/N11</f>
        <v>1.095999542857143</v>
      </c>
      <c r="R11" s="359">
        <v>0</v>
      </c>
      <c r="S11" s="282"/>
      <c r="T11" s="282"/>
      <c r="U11" s="282"/>
      <c r="V11" s="282"/>
      <c r="W11" s="282"/>
      <c r="X11" s="359">
        <v>0</v>
      </c>
      <c r="Y11" s="359">
        <v>0</v>
      </c>
      <c r="Z11" s="359">
        <v>0</v>
      </c>
      <c r="AA11" s="359">
        <v>0</v>
      </c>
      <c r="AB11" s="359">
        <v>0</v>
      </c>
      <c r="AC11" s="359">
        <v>0</v>
      </c>
      <c r="AD11" s="359">
        <v>0</v>
      </c>
      <c r="AE11" s="1074"/>
    </row>
    <row r="12" spans="1:33" ht="21.75" customHeight="1" hidden="1">
      <c r="A12" s="93"/>
      <c r="B12" s="89"/>
      <c r="C12" s="89"/>
      <c r="D12" s="321"/>
      <c r="E12" s="359"/>
      <c r="F12" s="282"/>
      <c r="G12" s="282"/>
      <c r="H12" s="282"/>
      <c r="I12" s="282"/>
      <c r="J12" s="282"/>
      <c r="K12" s="359"/>
      <c r="L12" s="282"/>
      <c r="M12" s="282"/>
      <c r="N12" s="282"/>
      <c r="O12" s="282"/>
      <c r="P12" s="282"/>
      <c r="Q12" s="732" t="e">
        <f t="shared" si="4"/>
        <v>#DIV/0!</v>
      </c>
      <c r="R12" s="359"/>
      <c r="S12" s="282"/>
      <c r="T12" s="282"/>
      <c r="U12" s="282"/>
      <c r="V12" s="282"/>
      <c r="W12" s="282"/>
      <c r="X12" s="359"/>
      <c r="Y12" s="359"/>
      <c r="Z12" s="359"/>
      <c r="AA12" s="359"/>
      <c r="AB12" s="359"/>
      <c r="AC12" s="359"/>
      <c r="AD12" s="359"/>
      <c r="AE12" s="1074"/>
      <c r="AG12" s="317" t="s">
        <v>246</v>
      </c>
    </row>
    <row r="13" spans="1:31" ht="21.75" customHeight="1">
      <c r="A13" s="93"/>
      <c r="B13" s="89" t="s">
        <v>37</v>
      </c>
      <c r="C13" s="1112" t="s">
        <v>289</v>
      </c>
      <c r="D13" s="1112"/>
      <c r="E13" s="359">
        <f aca="true" t="shared" si="5" ref="E13:R13">SUM(E14:E15)</f>
        <v>140000000</v>
      </c>
      <c r="F13" s="282">
        <f t="shared" si="5"/>
        <v>140000000</v>
      </c>
      <c r="G13" s="282">
        <f>SUM(G14:G15)</f>
        <v>140000000</v>
      </c>
      <c r="H13" s="282">
        <f>SUM(H14:H15)</f>
        <v>140000000</v>
      </c>
      <c r="I13" s="282">
        <f>SUM(I14:I15)</f>
        <v>140000000</v>
      </c>
      <c r="J13" s="282">
        <f>SUM(J14:J15)</f>
        <v>152448775</v>
      </c>
      <c r="K13" s="359">
        <f t="shared" si="5"/>
        <v>119054518</v>
      </c>
      <c r="L13" s="282">
        <f t="shared" si="5"/>
        <v>117064015</v>
      </c>
      <c r="M13" s="282">
        <f>SUM(M14:M15)</f>
        <v>117219272</v>
      </c>
      <c r="N13" s="282">
        <f t="shared" si="5"/>
        <v>117219269</v>
      </c>
      <c r="O13" s="935">
        <f>SUM(O14:O15)</f>
        <v>117149266</v>
      </c>
      <c r="P13" s="935">
        <f>SUM(P14:P15)</f>
        <v>132679144</v>
      </c>
      <c r="Q13" s="359">
        <f t="shared" si="5"/>
        <v>1.1318885122888798</v>
      </c>
      <c r="R13" s="359">
        <f t="shared" si="5"/>
        <v>20945482</v>
      </c>
      <c r="S13" s="282">
        <f aca="true" t="shared" si="6" ref="S13:X13">SUM(S14:S15)</f>
        <v>22935985</v>
      </c>
      <c r="T13" s="282">
        <f t="shared" si="6"/>
        <v>22780728</v>
      </c>
      <c r="U13" s="282">
        <f t="shared" si="6"/>
        <v>22780731</v>
      </c>
      <c r="V13" s="282">
        <f t="shared" si="6"/>
        <v>22850734</v>
      </c>
      <c r="W13" s="282">
        <f t="shared" si="6"/>
        <v>19769631</v>
      </c>
      <c r="X13" s="359">
        <f t="shared" si="6"/>
        <v>5610894</v>
      </c>
      <c r="Y13" s="359">
        <f aca="true" t="shared" si="7" ref="Y13:AD13">SUM(Y14:Y15)</f>
        <v>5610894</v>
      </c>
      <c r="Z13" s="359">
        <f t="shared" si="7"/>
        <v>5610894</v>
      </c>
      <c r="AA13" s="359">
        <f t="shared" si="7"/>
        <v>5610894</v>
      </c>
      <c r="AB13" s="359">
        <f t="shared" si="7"/>
        <v>5610894</v>
      </c>
      <c r="AC13" s="359">
        <f t="shared" si="7"/>
        <v>5610894</v>
      </c>
      <c r="AD13" s="359">
        <f t="shared" si="7"/>
        <v>5610894</v>
      </c>
      <c r="AE13" s="1074"/>
    </row>
    <row r="14" spans="1:31" ht="21.75" customHeight="1">
      <c r="A14" s="93"/>
      <c r="B14" s="89"/>
      <c r="C14" s="89" t="s">
        <v>290</v>
      </c>
      <c r="D14" s="546" t="s">
        <v>295</v>
      </c>
      <c r="E14" s="359">
        <f>'3.sz.m Önk  bev.'!E14</f>
        <v>140000000</v>
      </c>
      <c r="F14" s="282">
        <f>'3.sz.m Önk  bev.'!F14</f>
        <v>140000000</v>
      </c>
      <c r="G14" s="282">
        <f>'3.sz.m Önk  bev.'!G14</f>
        <v>140000000</v>
      </c>
      <c r="H14" s="282">
        <f>'3.sz.m Önk  bev.'!H14</f>
        <v>140000000</v>
      </c>
      <c r="I14" s="282">
        <f>'3.sz.m Önk  bev.'!I14</f>
        <v>140000000</v>
      </c>
      <c r="J14" s="282">
        <f>'3.sz.m Önk  bev.'!J14</f>
        <v>152448775</v>
      </c>
      <c r="K14" s="359">
        <f>'3.sz.m Önk  bev.'!L14</f>
        <v>119054518</v>
      </c>
      <c r="L14" s="282">
        <f>'3.sz.m Önk  bev.'!M14</f>
        <v>117064015</v>
      </c>
      <c r="M14" s="282">
        <f>'3.sz.m Önk  bev.'!N14</f>
        <v>117219272</v>
      </c>
      <c r="N14" s="282">
        <f>'3.sz.m Önk  bev.'!O14</f>
        <v>117219269</v>
      </c>
      <c r="O14" s="282">
        <f>'3.sz.m Önk  bev.'!P14</f>
        <v>117149266</v>
      </c>
      <c r="P14" s="282">
        <f>'3.sz.m Önk  bev.'!Q14</f>
        <v>132679144</v>
      </c>
      <c r="Q14" s="732">
        <f t="shared" si="4"/>
        <v>1.1318885122888798</v>
      </c>
      <c r="R14" s="359">
        <f>'3.sz.m Önk  bev.'!S14</f>
        <v>20945482</v>
      </c>
      <c r="S14" s="282">
        <f>'3.sz.m Önk  bev.'!T14</f>
        <v>22935985</v>
      </c>
      <c r="T14" s="282">
        <f>'3.sz.m Önk  bev.'!U14</f>
        <v>22780728</v>
      </c>
      <c r="U14" s="282">
        <f>'3.sz.m Önk  bev.'!V14</f>
        <v>22780731</v>
      </c>
      <c r="V14" s="282">
        <f>'3.sz.m Önk  bev.'!W14</f>
        <v>22850734</v>
      </c>
      <c r="W14" s="282">
        <f>'3.sz.m Önk  bev.'!X14</f>
        <v>19769631</v>
      </c>
      <c r="X14" s="359">
        <v>5610894</v>
      </c>
      <c r="Y14" s="359">
        <v>5610894</v>
      </c>
      <c r="Z14" s="359">
        <v>5610894</v>
      </c>
      <c r="AA14" s="359">
        <v>5610894</v>
      </c>
      <c r="AB14" s="359">
        <v>5610894</v>
      </c>
      <c r="AC14" s="359">
        <v>5610894</v>
      </c>
      <c r="AD14" s="359">
        <v>5610894</v>
      </c>
      <c r="AE14" s="1074"/>
    </row>
    <row r="15" spans="1:31" ht="21.75" customHeight="1">
      <c r="A15" s="93"/>
      <c r="B15" s="89"/>
      <c r="C15" s="89" t="s">
        <v>291</v>
      </c>
      <c r="D15" s="546" t="s">
        <v>296</v>
      </c>
      <c r="E15" s="359">
        <f>'3.sz.m Önk  bev.'!E15</f>
        <v>0</v>
      </c>
      <c r="F15" s="282">
        <f>'3.sz.m Önk  bev.'!F15</f>
        <v>0</v>
      </c>
      <c r="G15" s="282">
        <f>'3.sz.m Önk  bev.'!G15</f>
        <v>0</v>
      </c>
      <c r="H15" s="282">
        <f>'3.sz.m Önk  bev.'!H15</f>
        <v>0</v>
      </c>
      <c r="I15" s="282">
        <f>'3.sz.m Önk  bev.'!I15</f>
        <v>0</v>
      </c>
      <c r="J15" s="282">
        <f>'3.sz.m Önk  bev.'!J15</f>
        <v>0</v>
      </c>
      <c r="K15" s="359">
        <f>'3.sz.m Önk  bev.'!L15</f>
        <v>0</v>
      </c>
      <c r="L15" s="282">
        <f>'3.sz.m Önk  bev.'!M15</f>
        <v>0</v>
      </c>
      <c r="M15" s="282">
        <f>'3.sz.m Önk  bev.'!N15</f>
        <v>0</v>
      </c>
      <c r="N15" s="282">
        <f>'3.sz.m Önk  bev.'!O15</f>
        <v>0</v>
      </c>
      <c r="O15" s="282">
        <f>'3.sz.m Önk  bev.'!P15</f>
        <v>0</v>
      </c>
      <c r="P15" s="282">
        <f>'3.sz.m Önk  bev.'!Q15</f>
        <v>0</v>
      </c>
      <c r="Q15" s="732"/>
      <c r="R15" s="359">
        <v>0</v>
      </c>
      <c r="S15" s="282"/>
      <c r="T15" s="282"/>
      <c r="U15" s="282"/>
      <c r="V15" s="282"/>
      <c r="W15" s="282"/>
      <c r="X15" s="359">
        <v>0</v>
      </c>
      <c r="Y15" s="359">
        <v>0</v>
      </c>
      <c r="Z15" s="359">
        <v>0</v>
      </c>
      <c r="AA15" s="359">
        <v>0</v>
      </c>
      <c r="AB15" s="359">
        <v>0</v>
      </c>
      <c r="AC15" s="359">
        <v>0</v>
      </c>
      <c r="AD15" s="359">
        <v>0</v>
      </c>
      <c r="AE15" s="1074"/>
    </row>
    <row r="16" spans="1:31" ht="21.75" customHeight="1">
      <c r="A16" s="93"/>
      <c r="B16" s="89" t="s">
        <v>113</v>
      </c>
      <c r="C16" s="1112" t="s">
        <v>297</v>
      </c>
      <c r="D16" s="1112"/>
      <c r="E16" s="359">
        <f>'3.sz.m Önk  bev.'!E16</f>
        <v>13200000</v>
      </c>
      <c r="F16" s="282">
        <f>'3.sz.m Önk  bev.'!F16</f>
        <v>13200000</v>
      </c>
      <c r="G16" s="282">
        <f>'3.sz.m Önk  bev.'!G16</f>
        <v>13200000</v>
      </c>
      <c r="H16" s="282">
        <f>'3.sz.m Önk  bev.'!H16</f>
        <v>13200000</v>
      </c>
      <c r="I16" s="282">
        <f>'3.sz.m Önk  bev.'!I16</f>
        <v>13200000</v>
      </c>
      <c r="J16" s="282">
        <f>'3.sz.m Önk  bev.'!J16</f>
        <v>14013516</v>
      </c>
      <c r="K16" s="359">
        <f>'3.sz.m Önk  bev.'!L16</f>
        <v>13200000</v>
      </c>
      <c r="L16" s="282">
        <f>'3.sz.m Önk  bev.'!M16</f>
        <v>13200000</v>
      </c>
      <c r="M16" s="282">
        <f>'3.sz.m Önk  bev.'!N16</f>
        <v>13200000</v>
      </c>
      <c r="N16" s="282">
        <f>'3.sz.m Önk  bev.'!O16</f>
        <v>13200000</v>
      </c>
      <c r="O16" s="282">
        <f>'3.sz.m Önk  bev.'!P16</f>
        <v>13200000</v>
      </c>
      <c r="P16" s="282">
        <f>'3.sz.m Önk  bev.'!Q16</f>
        <v>14013516</v>
      </c>
      <c r="Q16" s="733">
        <f t="shared" si="4"/>
        <v>1.06163</v>
      </c>
      <c r="R16" s="359">
        <v>0</v>
      </c>
      <c r="S16" s="282"/>
      <c r="T16" s="282"/>
      <c r="U16" s="282"/>
      <c r="V16" s="282"/>
      <c r="W16" s="282"/>
      <c r="X16" s="359">
        <v>0</v>
      </c>
      <c r="Y16" s="359">
        <v>0</v>
      </c>
      <c r="Z16" s="359">
        <v>0</v>
      </c>
      <c r="AA16" s="359">
        <v>0</v>
      </c>
      <c r="AB16" s="359">
        <v>0</v>
      </c>
      <c r="AC16" s="359">
        <v>0</v>
      </c>
      <c r="AD16" s="359">
        <v>0</v>
      </c>
      <c r="AE16" s="1074"/>
    </row>
    <row r="17" spans="1:31" ht="21.75" customHeight="1">
      <c r="A17" s="93"/>
      <c r="B17" s="89" t="s">
        <v>49</v>
      </c>
      <c r="C17" s="1115" t="s">
        <v>298</v>
      </c>
      <c r="D17" s="1116"/>
      <c r="E17" s="359">
        <f aca="true" t="shared" si="8" ref="E17:N17">SUM(E18:E19)</f>
        <v>0</v>
      </c>
      <c r="F17" s="282">
        <f t="shared" si="8"/>
        <v>0</v>
      </c>
      <c r="G17" s="282">
        <f>SUM(G18:G19)</f>
        <v>0</v>
      </c>
      <c r="H17" s="282">
        <f>SUM(H18:H19)</f>
        <v>0</v>
      </c>
      <c r="I17" s="282">
        <f>SUM(I18:I19)</f>
        <v>0</v>
      </c>
      <c r="J17" s="282">
        <f>SUM(J18:J19)</f>
        <v>0</v>
      </c>
      <c r="K17" s="359">
        <f t="shared" si="8"/>
        <v>0</v>
      </c>
      <c r="L17" s="282">
        <f t="shared" si="8"/>
        <v>0</v>
      </c>
      <c r="M17" s="282">
        <f>SUM(M18:M19)</f>
        <v>0</v>
      </c>
      <c r="N17" s="282">
        <f t="shared" si="8"/>
        <v>0</v>
      </c>
      <c r="O17" s="282">
        <f>SUM(O18:O19)</f>
        <v>0</v>
      </c>
      <c r="P17" s="282">
        <f>SUM(P18:P19)</f>
        <v>0</v>
      </c>
      <c r="Q17" s="733" t="e">
        <f t="shared" si="4"/>
        <v>#DIV/0!</v>
      </c>
      <c r="R17" s="359">
        <v>0</v>
      </c>
      <c r="S17" s="282"/>
      <c r="T17" s="282"/>
      <c r="U17" s="282"/>
      <c r="V17" s="282"/>
      <c r="W17" s="282"/>
      <c r="X17" s="359">
        <v>0</v>
      </c>
      <c r="Y17" s="359">
        <v>0</v>
      </c>
      <c r="Z17" s="359">
        <v>0</v>
      </c>
      <c r="AA17" s="359">
        <v>0</v>
      </c>
      <c r="AB17" s="359">
        <v>0</v>
      </c>
      <c r="AC17" s="359">
        <v>0</v>
      </c>
      <c r="AD17" s="359">
        <v>0</v>
      </c>
      <c r="AE17" s="1074"/>
    </row>
    <row r="18" spans="1:31" ht="21.75" customHeight="1">
      <c r="A18" s="93"/>
      <c r="B18" s="89"/>
      <c r="C18" s="89" t="s">
        <v>299</v>
      </c>
      <c r="D18" s="546" t="s">
        <v>301</v>
      </c>
      <c r="E18" s="359">
        <f>'3.sz.m Önk  bev.'!E18</f>
        <v>0</v>
      </c>
      <c r="F18" s="282">
        <f>'3.sz.m Önk  bev.'!F18</f>
        <v>0</v>
      </c>
      <c r="G18" s="282">
        <f>'3.sz.m Önk  bev.'!G18</f>
        <v>0</v>
      </c>
      <c r="H18" s="282">
        <f>'3.sz.m Önk  bev.'!H18</f>
        <v>0</v>
      </c>
      <c r="I18" s="282">
        <f>'3.sz.m Önk  bev.'!I18</f>
        <v>0</v>
      </c>
      <c r="J18" s="282">
        <f>'3.sz.m Önk  bev.'!J18</f>
        <v>0</v>
      </c>
      <c r="K18" s="359">
        <f>'3.sz.m Önk  bev.'!L18</f>
        <v>0</v>
      </c>
      <c r="L18" s="282">
        <f>'3.sz.m Önk  bev.'!M18</f>
        <v>0</v>
      </c>
      <c r="M18" s="282">
        <f>'3.sz.m Önk  bev.'!N18</f>
        <v>0</v>
      </c>
      <c r="N18" s="282">
        <f>'3.sz.m Önk  bev.'!O18</f>
        <v>0</v>
      </c>
      <c r="O18" s="282">
        <f>'3.sz.m Önk  bev.'!P18</f>
        <v>0</v>
      </c>
      <c r="P18" s="282">
        <f>'3.sz.m Önk  bev.'!Q18</f>
        <v>0</v>
      </c>
      <c r="Q18" s="733"/>
      <c r="R18" s="359">
        <v>0</v>
      </c>
      <c r="S18" s="282"/>
      <c r="T18" s="282"/>
      <c r="U18" s="282"/>
      <c r="V18" s="282"/>
      <c r="W18" s="282"/>
      <c r="X18" s="359">
        <v>0</v>
      </c>
      <c r="Y18" s="359">
        <v>0</v>
      </c>
      <c r="Z18" s="359">
        <v>0</v>
      </c>
      <c r="AA18" s="359">
        <v>0</v>
      </c>
      <c r="AB18" s="359">
        <v>0</v>
      </c>
      <c r="AC18" s="359">
        <v>0</v>
      </c>
      <c r="AD18" s="359">
        <v>0</v>
      </c>
      <c r="AE18" s="1074"/>
    </row>
    <row r="19" spans="1:31" ht="21.75" customHeight="1" hidden="1">
      <c r="A19" s="93"/>
      <c r="B19" s="89"/>
      <c r="C19" s="89" t="s">
        <v>300</v>
      </c>
      <c r="D19" s="546" t="s">
        <v>274</v>
      </c>
      <c r="E19" s="359">
        <f>'3.sz.m Önk  bev.'!E19</f>
        <v>0</v>
      </c>
      <c r="F19" s="282">
        <f>'3.sz.m Önk  bev.'!F19</f>
        <v>0</v>
      </c>
      <c r="G19" s="282">
        <f>'3.sz.m Önk  bev.'!G19</f>
        <v>0</v>
      </c>
      <c r="H19" s="282">
        <f>'3.sz.m Önk  bev.'!H19</f>
        <v>0</v>
      </c>
      <c r="I19" s="282">
        <f>'3.sz.m Önk  bev.'!I19</f>
        <v>0</v>
      </c>
      <c r="J19" s="282">
        <f>'3.sz.m Önk  bev.'!J19</f>
        <v>0</v>
      </c>
      <c r="K19" s="359">
        <f>'3.sz.m Önk  bev.'!L19</f>
        <v>0</v>
      </c>
      <c r="L19" s="282">
        <f>'3.sz.m Önk  bev.'!M19</f>
        <v>0</v>
      </c>
      <c r="M19" s="282">
        <f>'3.sz.m Önk  bev.'!N19</f>
        <v>0</v>
      </c>
      <c r="N19" s="282">
        <f>'3.sz.m Önk  bev.'!O19</f>
        <v>0</v>
      </c>
      <c r="O19" s="282">
        <f>'3.sz.m Önk  bev.'!P19</f>
        <v>0</v>
      </c>
      <c r="P19" s="282">
        <f>'3.sz.m Önk  bev.'!Q19</f>
        <v>0</v>
      </c>
      <c r="Q19" s="733" t="e">
        <f t="shared" si="4"/>
        <v>#DIV/0!</v>
      </c>
      <c r="R19" s="359">
        <v>0</v>
      </c>
      <c r="S19" s="282"/>
      <c r="T19" s="282"/>
      <c r="U19" s="282"/>
      <c r="V19" s="282"/>
      <c r="W19" s="282"/>
      <c r="X19" s="359">
        <v>0</v>
      </c>
      <c r="Y19" s="359">
        <v>0</v>
      </c>
      <c r="Z19" s="359">
        <v>0</v>
      </c>
      <c r="AA19" s="359">
        <v>0</v>
      </c>
      <c r="AB19" s="359">
        <v>0</v>
      </c>
      <c r="AC19" s="359">
        <v>0</v>
      </c>
      <c r="AD19" s="359">
        <v>0</v>
      </c>
      <c r="AE19" s="1074"/>
    </row>
    <row r="20" spans="1:31" ht="21.75" customHeight="1" thickBot="1">
      <c r="A20" s="444"/>
      <c r="B20" s="603" t="s">
        <v>50</v>
      </c>
      <c r="C20" s="1117" t="s">
        <v>302</v>
      </c>
      <c r="D20" s="1118"/>
      <c r="E20" s="359">
        <f>'3.sz.m Önk  bev.'!E20</f>
        <v>1060000</v>
      </c>
      <c r="F20" s="282">
        <f>'3.sz.m Önk  bev.'!F20</f>
        <v>1060000</v>
      </c>
      <c r="G20" s="282">
        <f>'3.sz.m Önk  bev.'!G20</f>
        <v>3781890</v>
      </c>
      <c r="H20" s="282">
        <f>'3.sz.m Önk  bev.'!H20</f>
        <v>3781890</v>
      </c>
      <c r="I20" s="282">
        <f>'3.sz.m Önk  bev.'!I20</f>
        <v>4292890</v>
      </c>
      <c r="J20" s="282">
        <f>'3.sz.m Önk  bev.'!J20</f>
        <v>3546220</v>
      </c>
      <c r="K20" s="359">
        <f>'3.sz.m Önk  bev.'!L20</f>
        <v>1060000</v>
      </c>
      <c r="L20" s="282">
        <f>'3.sz.m Önk  bev.'!M20</f>
        <v>1060000</v>
      </c>
      <c r="M20" s="282">
        <f>'3.sz.m Önk  bev.'!N20</f>
        <v>3781890</v>
      </c>
      <c r="N20" s="282">
        <f>'3.sz.m Önk  bev.'!O20</f>
        <v>3781890</v>
      </c>
      <c r="O20" s="282">
        <f>'3.sz.m Önk  bev.'!P20</f>
        <v>4292890</v>
      </c>
      <c r="P20" s="282">
        <f>'3.sz.m Önk  bev.'!Q20</f>
        <v>3546220</v>
      </c>
      <c r="Q20" s="734">
        <f t="shared" si="4"/>
        <v>0.9376845968550116</v>
      </c>
      <c r="R20" s="359">
        <v>0</v>
      </c>
      <c r="S20" s="282"/>
      <c r="T20" s="282"/>
      <c r="U20" s="282"/>
      <c r="V20" s="282"/>
      <c r="W20" s="282"/>
      <c r="X20" s="359">
        <v>0</v>
      </c>
      <c r="Y20" s="359">
        <v>0</v>
      </c>
      <c r="Z20" s="359">
        <v>0</v>
      </c>
      <c r="AA20" s="359">
        <v>0</v>
      </c>
      <c r="AB20" s="359">
        <v>0</v>
      </c>
      <c r="AC20" s="359">
        <v>0</v>
      </c>
      <c r="AD20" s="359">
        <v>0</v>
      </c>
      <c r="AE20" s="1074"/>
    </row>
    <row r="21" spans="1:31" ht="21.75" customHeight="1" thickBot="1">
      <c r="A21" s="96" t="s">
        <v>303</v>
      </c>
      <c r="B21" s="1108" t="s">
        <v>304</v>
      </c>
      <c r="C21" s="1108"/>
      <c r="D21" s="1108"/>
      <c r="E21" s="357">
        <f>E22+E23+E25+E29+E30+E31+E32+E24</f>
        <v>52059053</v>
      </c>
      <c r="F21" s="357">
        <f>F22+F23+F25+F29+F30+F31+F32+F24</f>
        <v>52124693</v>
      </c>
      <c r="G21" s="357">
        <f>G22+G23+G25+G29+G30+G31+G32+G24</f>
        <v>54248868</v>
      </c>
      <c r="H21" s="357">
        <f>H22+H23+H25+H29+H30+H31+H32+H24</f>
        <v>54248868</v>
      </c>
      <c r="I21" s="357">
        <f>I22+I23+I25+I29+I30+I31+I32+I24+I33</f>
        <v>56029263</v>
      </c>
      <c r="J21" s="357">
        <f>J22+J23+J25+J29+J30+J31+J32+J24+J33</f>
        <v>56177673</v>
      </c>
      <c r="K21" s="357">
        <f>K22+K23+K25+K29+K30+K31+K32</f>
        <v>52059053</v>
      </c>
      <c r="L21" s="280">
        <f>L22+L23+L25+L29+L30+L31+L32</f>
        <v>52124693</v>
      </c>
      <c r="M21" s="357">
        <f>M22+M23+M25+M29+M30+M31+M32+M24</f>
        <v>54248868</v>
      </c>
      <c r="N21" s="357">
        <f>N22+N23+N25+N29+N30+N31+N32+N24</f>
        <v>54248868</v>
      </c>
      <c r="O21" s="357">
        <f>O22+O23+O25+O29+O30+O31+O32+O24+O33</f>
        <v>56029263</v>
      </c>
      <c r="P21" s="1006">
        <f>+P22+P23+P24+P25+P29+P31+P32+P33</f>
        <v>55796673</v>
      </c>
      <c r="Q21" s="357">
        <f>Q22+Q23+Q25+Q29+Q30+Q31+Q32+Q24</f>
        <v>297934</v>
      </c>
      <c r="R21" s="357">
        <f aca="true" t="shared" si="9" ref="R21:W21">R22+R23+R25+R29+R30+R31+R32</f>
        <v>0</v>
      </c>
      <c r="S21" s="280">
        <f t="shared" si="9"/>
        <v>0</v>
      </c>
      <c r="T21" s="280">
        <f t="shared" si="9"/>
        <v>0</v>
      </c>
      <c r="U21" s="280">
        <f t="shared" si="9"/>
        <v>0</v>
      </c>
      <c r="V21" s="280">
        <f t="shared" si="9"/>
        <v>0</v>
      </c>
      <c r="W21" s="280">
        <f t="shared" si="9"/>
        <v>381000</v>
      </c>
      <c r="X21" s="357">
        <f aca="true" t="shared" si="10" ref="X21:AD21">X22+X23+X25+X29+X30+X31+X32</f>
        <v>0</v>
      </c>
      <c r="Y21" s="357">
        <f t="shared" si="10"/>
        <v>0</v>
      </c>
      <c r="Z21" s="357">
        <f t="shared" si="10"/>
        <v>0</v>
      </c>
      <c r="AA21" s="357">
        <f t="shared" si="10"/>
        <v>0</v>
      </c>
      <c r="AB21" s="357">
        <f t="shared" si="10"/>
        <v>0</v>
      </c>
      <c r="AC21" s="357">
        <f t="shared" si="10"/>
        <v>0</v>
      </c>
      <c r="AD21" s="357">
        <f t="shared" si="10"/>
        <v>0</v>
      </c>
      <c r="AE21" s="1074"/>
    </row>
    <row r="22" spans="1:31" ht="21.75" customHeight="1">
      <c r="A22" s="94"/>
      <c r="B22" s="95" t="s">
        <v>39</v>
      </c>
      <c r="C22" s="1122" t="s">
        <v>305</v>
      </c>
      <c r="D22" s="1122"/>
      <c r="E22" s="281">
        <f>'3.sz.m Önk  bev.'!E22+'5.1 sz. m Köz Hiv'!D10+'5.2 sz. m ÁMK'!D10</f>
        <v>14220320</v>
      </c>
      <c r="F22" s="281">
        <f>'3.sz.m Önk  bev.'!F22+'5.1 sz. m Köz Hiv'!E10+'5.2 sz. m ÁMK'!E10</f>
        <v>14220320</v>
      </c>
      <c r="G22" s="281">
        <f>'3.sz.m Önk  bev.'!G22+'5.1 sz. m Köz Hiv'!F10+'5.2 sz. m ÁMK'!F10</f>
        <v>14221422</v>
      </c>
      <c r="H22" s="281">
        <f>'3.sz.m Önk  bev.'!H22+'5.1 sz. m Köz Hiv'!G10+'5.2 sz. m ÁMK'!G10</f>
        <v>14221422</v>
      </c>
      <c r="I22" s="281">
        <f>'3.sz.m Önk  bev.'!I22+'5.1 sz. m Köz Hiv'!H10+'5.2 sz. m ÁMK'!H10</f>
        <v>14566968</v>
      </c>
      <c r="J22" s="281">
        <f>'3.sz.m Önk  bev.'!J22+'5.1 sz. m Köz Hiv'!I10+'5.2 sz. m ÁMK'!I10</f>
        <v>15865545</v>
      </c>
      <c r="K22" s="358">
        <f>'3.sz.m Önk  bev.'!L22+'5.2 sz. m ÁMK'!L9</f>
        <v>33456499</v>
      </c>
      <c r="L22" s="281">
        <f>'3.sz.m Önk  bev.'!M22+'5.2 sz. m ÁMK'!M9</f>
        <v>33456499</v>
      </c>
      <c r="M22" s="281">
        <f>'3.sz.m Önk  bev.'!N22+'5.1 sz. m Köz Hiv'!N10+'5.2 sz. m ÁMK'!N10</f>
        <v>14221422</v>
      </c>
      <c r="N22" s="281">
        <f>'3.sz.m Önk  bev.'!O22+'5.1 sz. m Köz Hiv'!O10+'5.2 sz. m ÁMK'!O10</f>
        <v>14221422</v>
      </c>
      <c r="O22" s="281">
        <f>'3.sz.m Önk  bev.'!P22+'5.1 sz. m Köz Hiv'!P10+'5.2 sz. m ÁMK'!P10</f>
        <v>14566968</v>
      </c>
      <c r="P22" s="281">
        <f>'3.sz.m Önk  bev.'!Q22+'5.1 sz. m Köz Hiv'!Q10+'5.2 sz. m ÁMK'!Q10</f>
        <v>15565545</v>
      </c>
      <c r="Q22" s="281">
        <f>'3.sz.m Önk  bev.'!R22+'5.1 sz. m Köz Hiv'!R10+'5.2 sz. m ÁMK'!R10</f>
        <v>0</v>
      </c>
      <c r="R22" s="358">
        <v>0</v>
      </c>
      <c r="S22" s="281"/>
      <c r="T22" s="281"/>
      <c r="U22" s="281"/>
      <c r="V22" s="281"/>
      <c r="W22" s="281">
        <f>+'3.sz.m Önk  bev.'!X22</f>
        <v>300000</v>
      </c>
      <c r="X22" s="358">
        <v>0</v>
      </c>
      <c r="Y22" s="358">
        <v>0</v>
      </c>
      <c r="Z22" s="358">
        <v>0</v>
      </c>
      <c r="AA22" s="358">
        <v>0</v>
      </c>
      <c r="AB22" s="358">
        <v>0</v>
      </c>
      <c r="AC22" s="358">
        <v>0</v>
      </c>
      <c r="AD22" s="358">
        <v>0</v>
      </c>
      <c r="AE22" s="1074"/>
    </row>
    <row r="23" spans="1:31" ht="21.75" customHeight="1">
      <c r="A23" s="93"/>
      <c r="B23" s="89" t="s">
        <v>40</v>
      </c>
      <c r="C23" s="1114" t="s">
        <v>306</v>
      </c>
      <c r="D23" s="1114"/>
      <c r="E23" s="281">
        <f>'3.sz.m Önk  bev.'!E23+'5.2 sz. m ÁMK'!D11</f>
        <v>11283000</v>
      </c>
      <c r="F23" s="281">
        <f>'3.sz.m Önk  bev.'!F23+'5.2 sz. m ÁMK'!E11</f>
        <v>11283000</v>
      </c>
      <c r="G23" s="281">
        <f>'3.sz.m Önk  bev.'!G23+'5.2 sz. m ÁMK'!F11+'5.1 sz. m Köz Hiv'!F11</f>
        <v>11299800</v>
      </c>
      <c r="H23" s="281">
        <f>'3.sz.m Önk  bev.'!H23+'5.2 sz. m ÁMK'!G11+'5.1 sz. m Köz Hiv'!G11</f>
        <v>11299800</v>
      </c>
      <c r="I23" s="281">
        <f>'3.sz.m Önk  bev.'!I23+'5.2 sz. m ÁMK'!H11+'5.1 sz. m Köz Hiv'!H11</f>
        <v>11368932</v>
      </c>
      <c r="J23" s="281">
        <f>'3.sz.m Önk  bev.'!J23+'5.2 sz. m ÁMK'!I11+'5.1 sz. m Köz Hiv'!I11</f>
        <v>8618844</v>
      </c>
      <c r="K23" s="360">
        <f>'3.sz.m Önk  bev.'!L23</f>
        <v>5783000</v>
      </c>
      <c r="L23" s="283">
        <f>'3.sz.m Önk  bev.'!M23</f>
        <v>5783000</v>
      </c>
      <c r="M23" s="281">
        <f>'3.sz.m Önk  bev.'!N23+'5.2 sz. m ÁMK'!N11+'5.1 sz. m Köz Hiv'!N11</f>
        <v>11299800</v>
      </c>
      <c r="N23" s="281">
        <f>'3.sz.m Önk  bev.'!O23+'5.2 sz. m ÁMK'!O11+'5.1 sz. m Köz Hiv'!O11</f>
        <v>11299800</v>
      </c>
      <c r="O23" s="281">
        <f>'3.sz.m Önk  bev.'!P23+'5.2 sz. m ÁMK'!P11+'5.1 sz. m Köz Hiv'!P11</f>
        <v>11368932</v>
      </c>
      <c r="P23" s="281">
        <f>'3.sz.m Önk  bev.'!Q23+'5.2 sz. m ÁMK'!Q11+'5.1 sz. m Köz Hiv'!Q11</f>
        <v>8618844</v>
      </c>
      <c r="Q23" s="281">
        <f>'3.sz.m Önk  bev.'!R23+'5.2 sz. m ÁMK'!R11+'5.1 sz. m Köz Hiv'!R11</f>
        <v>0</v>
      </c>
      <c r="R23" s="360">
        <v>0</v>
      </c>
      <c r="S23" s="283"/>
      <c r="T23" s="283"/>
      <c r="U23" s="283"/>
      <c r="V23" s="283"/>
      <c r="W23" s="283"/>
      <c r="X23" s="360">
        <v>0</v>
      </c>
      <c r="Y23" s="360">
        <v>0</v>
      </c>
      <c r="Z23" s="360">
        <v>0</v>
      </c>
      <c r="AA23" s="360">
        <v>0</v>
      </c>
      <c r="AB23" s="360">
        <v>0</v>
      </c>
      <c r="AC23" s="360">
        <v>0</v>
      </c>
      <c r="AD23" s="360">
        <v>0</v>
      </c>
      <c r="AE23" s="1074"/>
    </row>
    <row r="24" spans="1:31" ht="21.75" customHeight="1">
      <c r="A24" s="93"/>
      <c r="B24" s="89" t="s">
        <v>494</v>
      </c>
      <c r="C24" s="1114" t="s">
        <v>490</v>
      </c>
      <c r="D24" s="1119"/>
      <c r="E24" s="281">
        <f>'5.2 sz. m ÁMK'!D13</f>
        <v>5151069</v>
      </c>
      <c r="F24" s="281">
        <f>'5.2 sz. m ÁMK'!E13</f>
        <v>5151069</v>
      </c>
      <c r="G24" s="281">
        <f>'5.2 sz. m ÁMK'!F13</f>
        <v>5151069</v>
      </c>
      <c r="H24" s="281">
        <f>'5.2 sz. m ÁMK'!G13</f>
        <v>5151069</v>
      </c>
      <c r="I24" s="281">
        <f>'5.2 sz. m ÁMK'!H13</f>
        <v>5151069</v>
      </c>
      <c r="J24" s="281">
        <f>'5.2 sz. m ÁMK'!I13</f>
        <v>5663190</v>
      </c>
      <c r="K24" s="360"/>
      <c r="L24" s="283"/>
      <c r="M24" s="281">
        <f>'5.2 sz. m ÁMK'!N13</f>
        <v>5151069</v>
      </c>
      <c r="N24" s="281">
        <f>'5.2 sz. m ÁMK'!O13</f>
        <v>5151069</v>
      </c>
      <c r="O24" s="281">
        <f>'5.2 sz. m ÁMK'!P13</f>
        <v>5151069</v>
      </c>
      <c r="P24" s="281">
        <f>'5.2 sz. m ÁMK'!Q13</f>
        <v>5663190</v>
      </c>
      <c r="Q24" s="281">
        <f>'5.2 sz. m ÁMK'!R13</f>
        <v>0</v>
      </c>
      <c r="R24" s="360"/>
      <c r="S24" s="283"/>
      <c r="T24" s="283"/>
      <c r="U24" s="283"/>
      <c r="V24" s="283"/>
      <c r="W24" s="283"/>
      <c r="X24" s="360"/>
      <c r="Y24" s="360"/>
      <c r="Z24" s="360"/>
      <c r="AA24" s="360"/>
      <c r="AB24" s="360"/>
      <c r="AC24" s="360"/>
      <c r="AD24" s="360"/>
      <c r="AE24" s="1074"/>
    </row>
    <row r="25" spans="1:31" ht="21.75" customHeight="1">
      <c r="A25" s="93"/>
      <c r="B25" s="89" t="s">
        <v>275</v>
      </c>
      <c r="C25" s="1114" t="s">
        <v>307</v>
      </c>
      <c r="D25" s="1114"/>
      <c r="E25" s="283">
        <f aca="true" t="shared" si="11" ref="E25:J25">SUM(E26:E28)</f>
        <v>12033812</v>
      </c>
      <c r="F25" s="283">
        <f t="shared" si="11"/>
        <v>12033812</v>
      </c>
      <c r="G25" s="283">
        <f t="shared" si="11"/>
        <v>12334170</v>
      </c>
      <c r="H25" s="283">
        <f t="shared" si="11"/>
        <v>12334170</v>
      </c>
      <c r="I25" s="283">
        <f t="shared" si="11"/>
        <v>12734951</v>
      </c>
      <c r="J25" s="283">
        <f t="shared" si="11"/>
        <v>13756886</v>
      </c>
      <c r="K25" s="360">
        <f aca="true" t="shared" si="12" ref="K25:Q25">SUM(K26:K28)</f>
        <v>10263812</v>
      </c>
      <c r="L25" s="283">
        <f t="shared" si="12"/>
        <v>10263812</v>
      </c>
      <c r="M25" s="283">
        <f t="shared" si="12"/>
        <v>12334170</v>
      </c>
      <c r="N25" s="283">
        <f t="shared" si="12"/>
        <v>12334170</v>
      </c>
      <c r="O25" s="283">
        <f t="shared" si="12"/>
        <v>12734951</v>
      </c>
      <c r="P25" s="283">
        <f>SUM(P26:P28)</f>
        <v>13756886</v>
      </c>
      <c r="Q25" s="283">
        <f t="shared" si="12"/>
        <v>2</v>
      </c>
      <c r="R25" s="360">
        <v>0</v>
      </c>
      <c r="S25" s="283"/>
      <c r="T25" s="283">
        <f>SUM(T26:T28)</f>
        <v>0</v>
      </c>
      <c r="U25" s="283">
        <f>SUM(U26:U28)</f>
        <v>0</v>
      </c>
      <c r="V25" s="283">
        <f>SUM(V26:V28)</f>
        <v>0</v>
      </c>
      <c r="W25" s="283">
        <f>SUM(W26:W28)</f>
        <v>0</v>
      </c>
      <c r="X25" s="360">
        <v>0</v>
      </c>
      <c r="Y25" s="360">
        <v>0</v>
      </c>
      <c r="Z25" s="360">
        <v>0</v>
      </c>
      <c r="AA25" s="360">
        <v>0</v>
      </c>
      <c r="AB25" s="360">
        <v>0</v>
      </c>
      <c r="AC25" s="360">
        <v>0</v>
      </c>
      <c r="AD25" s="360">
        <v>0</v>
      </c>
      <c r="AE25" s="1074"/>
    </row>
    <row r="26" spans="1:31" ht="31.5" customHeight="1">
      <c r="A26" s="93"/>
      <c r="B26" s="89"/>
      <c r="C26" s="89" t="s">
        <v>495</v>
      </c>
      <c r="D26" s="321" t="s">
        <v>308</v>
      </c>
      <c r="E26" s="283">
        <f>'3.sz.m Önk  bev.'!E25+'5.2 sz. m ÁMK'!D12</f>
        <v>12033812</v>
      </c>
      <c r="F26" s="283">
        <f>'3.sz.m Önk  bev.'!F25+'5.2 sz. m ÁMK'!E12</f>
        <v>12033812</v>
      </c>
      <c r="G26" s="283">
        <f>'3.sz.m Önk  bev.'!G25+'5.2 sz. m ÁMK'!F12</f>
        <v>11943812</v>
      </c>
      <c r="H26" s="283">
        <f>'3.sz.m Önk  bev.'!H25+'5.2 sz. m ÁMK'!G12</f>
        <v>11943812</v>
      </c>
      <c r="I26" s="283">
        <f>'3.sz.m Önk  bev.'!I25+'5.2 sz. m ÁMK'!H12</f>
        <v>12244422</v>
      </c>
      <c r="J26" s="283">
        <f>'3.sz.m Önk  bev.'!J25+'5.2 sz. m ÁMK'!I12</f>
        <v>13266357</v>
      </c>
      <c r="K26" s="360">
        <f>'3.sz.m Önk  bev.'!L25</f>
        <v>10263812</v>
      </c>
      <c r="L26" s="283">
        <f>'3.sz.m Önk  bev.'!M25</f>
        <v>10263812</v>
      </c>
      <c r="M26" s="283">
        <f>'3.sz.m Önk  bev.'!N25+'5.2 sz. m ÁMK'!N12</f>
        <v>11943812</v>
      </c>
      <c r="N26" s="283">
        <f>'3.sz.m Önk  bev.'!O25+'5.2 sz. m ÁMK'!O12</f>
        <v>11943812</v>
      </c>
      <c r="O26" s="283">
        <f>'3.sz.m Önk  bev.'!P25+'5.2 sz. m ÁMK'!P12</f>
        <v>12244422</v>
      </c>
      <c r="P26" s="283">
        <f>'3.sz.m Önk  bev.'!Q25+'5.2 sz. m ÁMK'!Q12</f>
        <v>13266357</v>
      </c>
      <c r="Q26" s="283">
        <f>'3.sz.m Önk  bev.'!R25+'5.2 sz. m ÁMK'!R12</f>
        <v>0</v>
      </c>
      <c r="R26" s="360">
        <v>0</v>
      </c>
      <c r="S26" s="283"/>
      <c r="T26" s="283">
        <f>'3.sz.m Önk  bev.'!U25</f>
        <v>0</v>
      </c>
      <c r="U26" s="283">
        <f>'3.sz.m Önk  bev.'!V25</f>
        <v>0</v>
      </c>
      <c r="V26" s="283">
        <f>'3.sz.m Önk  bev.'!W25</f>
        <v>0</v>
      </c>
      <c r="W26" s="283">
        <f>'3.sz.m Önk  bev.'!X25</f>
        <v>0</v>
      </c>
      <c r="X26" s="360">
        <v>0</v>
      </c>
      <c r="Y26" s="360">
        <v>0</v>
      </c>
      <c r="Z26" s="360">
        <v>0</v>
      </c>
      <c r="AA26" s="360">
        <v>0</v>
      </c>
      <c r="AB26" s="360">
        <v>0</v>
      </c>
      <c r="AC26" s="360">
        <v>0</v>
      </c>
      <c r="AD26" s="360">
        <v>0</v>
      </c>
      <c r="AE26" s="1074"/>
    </row>
    <row r="27" spans="1:31" ht="41.25" customHeight="1">
      <c r="A27" s="93"/>
      <c r="B27" s="89"/>
      <c r="C27" s="89" t="s">
        <v>496</v>
      </c>
      <c r="D27" s="321" t="s">
        <v>309</v>
      </c>
      <c r="E27" s="283">
        <f>'3.sz.m Önk  bev.'!E26</f>
        <v>0</v>
      </c>
      <c r="F27" s="283">
        <f>'3.sz.m Önk  bev.'!F26</f>
        <v>0</v>
      </c>
      <c r="G27" s="283">
        <f>'3.sz.m Önk  bev.'!G26</f>
        <v>390358</v>
      </c>
      <c r="H27" s="283">
        <f>'3.sz.m Önk  bev.'!H26</f>
        <v>390358</v>
      </c>
      <c r="I27" s="283">
        <f>'3.sz.m Önk  bev.'!I26</f>
        <v>390358</v>
      </c>
      <c r="J27" s="283">
        <f>'3.sz.m Önk  bev.'!J26</f>
        <v>390358</v>
      </c>
      <c r="K27" s="360">
        <f>'3.sz.m Önk  bev.'!L26</f>
        <v>0</v>
      </c>
      <c r="L27" s="283">
        <f>'3.sz.m Önk  bev.'!M26</f>
        <v>0</v>
      </c>
      <c r="M27" s="283">
        <f>'3.sz.m Önk  bev.'!N26</f>
        <v>390358</v>
      </c>
      <c r="N27" s="283">
        <f>'3.sz.m Önk  bev.'!O26</f>
        <v>390358</v>
      </c>
      <c r="O27" s="283">
        <f>'3.sz.m Önk  bev.'!P26</f>
        <v>390358</v>
      </c>
      <c r="P27" s="283">
        <f>'3.sz.m Önk  bev.'!Q26</f>
        <v>390358</v>
      </c>
      <c r="Q27" s="283">
        <f>'3.sz.m Önk  bev.'!R26</f>
        <v>0</v>
      </c>
      <c r="R27" s="360">
        <v>0</v>
      </c>
      <c r="S27" s="283"/>
      <c r="T27" s="283"/>
      <c r="U27" s="283"/>
      <c r="V27" s="283"/>
      <c r="W27" s="283"/>
      <c r="X27" s="360">
        <v>0</v>
      </c>
      <c r="Y27" s="360">
        <v>0</v>
      </c>
      <c r="Z27" s="360">
        <v>0</v>
      </c>
      <c r="AA27" s="360">
        <v>0</v>
      </c>
      <c r="AB27" s="360">
        <v>0</v>
      </c>
      <c r="AC27" s="360">
        <v>0</v>
      </c>
      <c r="AD27" s="360">
        <v>0</v>
      </c>
      <c r="AE27" s="1074"/>
    </row>
    <row r="28" spans="1:31" ht="21.75" customHeight="1">
      <c r="A28" s="93"/>
      <c r="B28" s="89"/>
      <c r="C28" s="89" t="s">
        <v>497</v>
      </c>
      <c r="D28" s="321" t="s">
        <v>510</v>
      </c>
      <c r="E28" s="283">
        <f>'3.sz.m Önk  bev.'!E27</f>
        <v>0</v>
      </c>
      <c r="F28" s="283">
        <f>'3.sz.m Önk  bev.'!F27</f>
        <v>0</v>
      </c>
      <c r="G28" s="283">
        <f>'3.sz.m Önk  bev.'!G27</f>
        <v>0</v>
      </c>
      <c r="H28" s="283">
        <f>'3.sz.m Önk  bev.'!H27</f>
        <v>0</v>
      </c>
      <c r="I28" s="283">
        <f>'3.sz.m Önk  bev.'!I27</f>
        <v>100171</v>
      </c>
      <c r="J28" s="283">
        <f>'3.sz.m Önk  bev.'!J27</f>
        <v>100171</v>
      </c>
      <c r="K28" s="360">
        <f>'3.sz.m Önk  bev.'!L27</f>
        <v>0</v>
      </c>
      <c r="L28" s="283">
        <f>'3.sz.m Önk  bev.'!M27</f>
        <v>0</v>
      </c>
      <c r="M28" s="283">
        <f>'3.sz.m Önk  bev.'!N27</f>
        <v>0</v>
      </c>
      <c r="N28" s="283">
        <f>'3.sz.m Önk  bev.'!O27</f>
        <v>0</v>
      </c>
      <c r="O28" s="283">
        <f>'3.sz.m Önk  bev.'!P27</f>
        <v>100171</v>
      </c>
      <c r="P28" s="283">
        <f>'3.sz.m Önk  bev.'!Q27</f>
        <v>100171</v>
      </c>
      <c r="Q28" s="283">
        <f>'3.sz.m Önk  bev.'!R27</f>
        <v>2</v>
      </c>
      <c r="R28" s="360">
        <v>0</v>
      </c>
      <c r="S28" s="283"/>
      <c r="T28" s="283"/>
      <c r="U28" s="283"/>
      <c r="V28" s="283"/>
      <c r="W28" s="283"/>
      <c r="X28" s="360">
        <v>0</v>
      </c>
      <c r="Y28" s="360">
        <v>0</v>
      </c>
      <c r="Z28" s="360">
        <v>0</v>
      </c>
      <c r="AA28" s="360">
        <v>0</v>
      </c>
      <c r="AB28" s="360">
        <v>0</v>
      </c>
      <c r="AC28" s="360">
        <v>0</v>
      </c>
      <c r="AD28" s="360">
        <v>0</v>
      </c>
      <c r="AE28" s="1074"/>
    </row>
    <row r="29" spans="1:31" ht="21.75" customHeight="1">
      <c r="A29" s="93"/>
      <c r="B29" s="89" t="s">
        <v>311</v>
      </c>
      <c r="C29" s="1114" t="s">
        <v>310</v>
      </c>
      <c r="D29" s="1114"/>
      <c r="E29" s="283">
        <f>'3.sz.m Önk  bev.'!E28+'5.2 sz. m ÁMK'!D14</f>
        <v>8457520</v>
      </c>
      <c r="F29" s="283">
        <f>'3.sz.m Önk  bev.'!F28+'5.2 sz. m ÁMK'!E14</f>
        <v>8457520</v>
      </c>
      <c r="G29" s="283">
        <f>'3.sz.m Önk  bev.'!G28+'5.2 sz. m ÁMK'!F14</f>
        <v>8525318</v>
      </c>
      <c r="H29" s="283">
        <f>'3.sz.m Önk  bev.'!H28+'5.2 sz. m ÁMK'!G14</f>
        <v>8525318</v>
      </c>
      <c r="I29" s="283">
        <f>'3.sz.m Önk  bev.'!I28+'5.2 sz. m ÁMK'!H14</f>
        <v>8525318</v>
      </c>
      <c r="J29" s="283">
        <f>'3.sz.m Önk  bev.'!J28+'5.2 sz. m ÁMK'!I14</f>
        <v>8037246</v>
      </c>
      <c r="K29" s="360">
        <f>'3.sz.m Önk  bev.'!L28</f>
        <v>1642410</v>
      </c>
      <c r="L29" s="283">
        <f>'3.sz.m Önk  bev.'!M28</f>
        <v>1642410</v>
      </c>
      <c r="M29" s="283">
        <f>'3.sz.m Önk  bev.'!N28+'5.2 sz. m ÁMK'!N14</f>
        <v>8525318</v>
      </c>
      <c r="N29" s="283">
        <f>'3.sz.m Önk  bev.'!O28+'5.2 sz. m ÁMK'!O14</f>
        <v>8525318</v>
      </c>
      <c r="O29" s="283">
        <f>'3.sz.m Önk  bev.'!P28+'5.2 sz. m ÁMK'!P14</f>
        <v>8525318</v>
      </c>
      <c r="P29" s="283">
        <f>'3.sz.m Önk  bev.'!Q28+'5.2 sz. m ÁMK'!Q14</f>
        <v>7956246</v>
      </c>
      <c r="Q29" s="283">
        <f>'3.sz.m Önk  bev.'!R28+'5.2 sz. m ÁMK'!R14</f>
        <v>0</v>
      </c>
      <c r="R29" s="360">
        <v>0</v>
      </c>
      <c r="S29" s="283"/>
      <c r="T29" s="283"/>
      <c r="U29" s="283"/>
      <c r="V29" s="283"/>
      <c r="W29" s="283">
        <f>+'3.sz.m Önk  bev.'!X28</f>
        <v>81000</v>
      </c>
      <c r="X29" s="360">
        <v>0</v>
      </c>
      <c r="Y29" s="360">
        <v>0</v>
      </c>
      <c r="Z29" s="360">
        <v>0</v>
      </c>
      <c r="AA29" s="360">
        <v>0</v>
      </c>
      <c r="AB29" s="360">
        <v>0</v>
      </c>
      <c r="AC29" s="360">
        <v>0</v>
      </c>
      <c r="AD29" s="360">
        <v>0</v>
      </c>
      <c r="AE29" s="1074"/>
    </row>
    <row r="30" spans="1:31" ht="21.75" customHeight="1" hidden="1">
      <c r="A30" s="97"/>
      <c r="B30" s="98" t="s">
        <v>313</v>
      </c>
      <c r="C30" s="1114" t="s">
        <v>312</v>
      </c>
      <c r="D30" s="1119"/>
      <c r="E30" s="283">
        <f>'3.sz.m Önk  bev.'!E29</f>
        <v>0</v>
      </c>
      <c r="F30" s="283">
        <f>'3.sz.m Önk  bev.'!F29</f>
        <v>0</v>
      </c>
      <c r="G30" s="283">
        <f>'3.sz.m Önk  bev.'!G29</f>
        <v>0</v>
      </c>
      <c r="H30" s="283">
        <f>'3.sz.m Önk  bev.'!H29</f>
        <v>0</v>
      </c>
      <c r="I30" s="283"/>
      <c r="J30" s="283"/>
      <c r="K30" s="360">
        <f>'3.sz.m Önk  bev.'!L29</f>
        <v>0</v>
      </c>
      <c r="L30" s="283">
        <f>'3.sz.m Önk  bev.'!M29</f>
        <v>0</v>
      </c>
      <c r="M30" s="283">
        <f>'3.sz.m Önk  bev.'!M29</f>
        <v>0</v>
      </c>
      <c r="N30" s="283">
        <f>'3.sz.m Önk  bev.'!N29</f>
        <v>0</v>
      </c>
      <c r="O30" s="283">
        <f>'3.sz.m Önk  bev.'!O29</f>
        <v>0</v>
      </c>
      <c r="P30" s="283">
        <f>'3.sz.m Önk  bev.'!P29</f>
        <v>237795</v>
      </c>
      <c r="Q30" s="283">
        <f>'3.sz.m Önk  bev.'!Q29</f>
        <v>297932</v>
      </c>
      <c r="R30" s="360">
        <v>0</v>
      </c>
      <c r="S30" s="283"/>
      <c r="T30" s="283"/>
      <c r="U30" s="283"/>
      <c r="V30" s="283"/>
      <c r="W30" s="283"/>
      <c r="X30" s="360">
        <v>0</v>
      </c>
      <c r="Y30" s="360">
        <v>0</v>
      </c>
      <c r="Z30" s="360">
        <v>0</v>
      </c>
      <c r="AA30" s="360">
        <v>0</v>
      </c>
      <c r="AB30" s="360">
        <v>0</v>
      </c>
      <c r="AC30" s="360">
        <v>0</v>
      </c>
      <c r="AD30" s="360">
        <v>0</v>
      </c>
      <c r="AE30" s="1074"/>
    </row>
    <row r="31" spans="1:31" ht="21.75" customHeight="1">
      <c r="A31" s="97"/>
      <c r="B31" s="98" t="s">
        <v>313</v>
      </c>
      <c r="C31" s="1114" t="s">
        <v>314</v>
      </c>
      <c r="D31" s="1119"/>
      <c r="E31" s="283">
        <f>'3.sz.m Önk  bev.'!E30+'5.1 sz. m Köz Hiv'!D12+'5.2 sz. m ÁMK'!D15</f>
        <v>913332</v>
      </c>
      <c r="F31" s="283">
        <f>'3.sz.m Önk  bev.'!F30+'5.1 sz. m Köz Hiv'!E12+'5.2 sz. m ÁMK'!E15</f>
        <v>913332</v>
      </c>
      <c r="G31" s="283">
        <f>'3.sz.m Önk  bev.'!G30+'5.1 sz. m Köz Hiv'!F12+'5.2 sz. m ÁMK'!F15</f>
        <v>915832</v>
      </c>
      <c r="H31" s="283">
        <f>'3.sz.m Önk  bev.'!H30+'5.1 sz. m Köz Hiv'!G12+'5.2 sz. m ÁMK'!G15</f>
        <v>915832</v>
      </c>
      <c r="I31" s="283">
        <f>'3.sz.m Önk  bev.'!I30+'5.1 sz. m Köz Hiv'!H12+'5.2 sz. m ÁMK'!H15</f>
        <v>915832</v>
      </c>
      <c r="J31" s="283">
        <f>'3.sz.m Önk  bev.'!J30+'5.1 sz. m Köz Hiv'!I12+'5.2 sz. m ÁMK'!I15</f>
        <v>915232</v>
      </c>
      <c r="K31" s="360">
        <f>'3.sz.m Önk  bev.'!L30</f>
        <v>913332</v>
      </c>
      <c r="L31" s="283">
        <f>'3.sz.m Önk  bev.'!M30</f>
        <v>913332</v>
      </c>
      <c r="M31" s="283">
        <f>'3.sz.m Önk  bev.'!N30+'5.1 sz. m Köz Hiv'!N12+'5.2 sz. m ÁMK'!N15</f>
        <v>915832</v>
      </c>
      <c r="N31" s="283">
        <f>'3.sz.m Önk  bev.'!O30+'5.1 sz. m Köz Hiv'!O12+'5.2 sz. m ÁMK'!O15</f>
        <v>915832</v>
      </c>
      <c r="O31" s="283">
        <f>'3.sz.m Önk  bev.'!P30+'5.1 sz. m Köz Hiv'!P12+'5.2 sz. m ÁMK'!P15</f>
        <v>915832</v>
      </c>
      <c r="P31" s="283">
        <f>'3.sz.m Önk  bev.'!Q30+'5.1 sz. m Köz Hiv'!Q12+'5.2 sz. m ÁMK'!Q15</f>
        <v>915232</v>
      </c>
      <c r="Q31" s="283">
        <f>'3.sz.m Önk  bev.'!R30+'5.1 sz. m Köz Hiv'!R12+'5.2 sz. m ÁMK'!R15</f>
        <v>0</v>
      </c>
      <c r="R31" s="360">
        <v>0</v>
      </c>
      <c r="S31" s="283"/>
      <c r="T31" s="283"/>
      <c r="U31" s="283"/>
      <c r="V31" s="283"/>
      <c r="W31" s="283"/>
      <c r="X31" s="360">
        <v>0</v>
      </c>
      <c r="Y31" s="360">
        <v>0</v>
      </c>
      <c r="Z31" s="360">
        <v>0</v>
      </c>
      <c r="AA31" s="360">
        <v>0</v>
      </c>
      <c r="AB31" s="360">
        <v>0</v>
      </c>
      <c r="AC31" s="360">
        <v>0</v>
      </c>
      <c r="AD31" s="360">
        <v>0</v>
      </c>
      <c r="AE31" s="1074"/>
    </row>
    <row r="32" spans="1:31" ht="21.75" customHeight="1">
      <c r="A32" s="97"/>
      <c r="B32" s="98" t="s">
        <v>498</v>
      </c>
      <c r="C32" s="1113" t="s">
        <v>70</v>
      </c>
      <c r="D32" s="1113"/>
      <c r="E32" s="283">
        <f>'3.sz.m Önk  bev.'!E31+'5.1 sz. m Köz Hiv'!D13+'5.2 sz. m ÁMK'!D16</f>
        <v>0</v>
      </c>
      <c r="F32" s="283">
        <f>'3.sz.m Önk  bev.'!F31+'5.1 sz. m Köz Hiv'!E13+'5.2 sz. m ÁMK'!E16</f>
        <v>65640</v>
      </c>
      <c r="G32" s="283">
        <f>'3.sz.m Önk  bev.'!G31+'5.1 sz. m Köz Hiv'!F13+'5.2 sz. m ÁMK'!F16</f>
        <v>1801257</v>
      </c>
      <c r="H32" s="283">
        <f>'3.sz.m Önk  bev.'!H31+'5.1 sz. m Köz Hiv'!G13+'5.2 sz. m ÁMK'!G16</f>
        <v>1801257</v>
      </c>
      <c r="I32" s="283">
        <f>'3.sz.m Önk  bev.'!I31+'5.1 sz. m Köz Hiv'!H13+'5.2 sz. m ÁMK'!H16</f>
        <v>2528398</v>
      </c>
      <c r="J32" s="283">
        <f>'3.sz.m Önk  bev.'!J31+'5.1 sz. m Köz Hiv'!I13+'5.2 sz. m ÁMK'!I16</f>
        <v>3022798</v>
      </c>
      <c r="K32" s="360">
        <f>'3.sz.m Önk  bev.'!L31</f>
        <v>0</v>
      </c>
      <c r="L32" s="283">
        <f>'3.sz.m Önk  bev.'!M31+'5.1 sz. m Köz Hiv'!M13</f>
        <v>65640</v>
      </c>
      <c r="M32" s="283">
        <f>'3.sz.m Önk  bev.'!N31+'5.1 sz. m Köz Hiv'!N13+'5.2 sz. m ÁMK'!N16</f>
        <v>1801257</v>
      </c>
      <c r="N32" s="283">
        <f>'3.sz.m Önk  bev.'!O31+'5.1 sz. m Köz Hiv'!O13+'5.2 sz. m ÁMK'!O16</f>
        <v>1801257</v>
      </c>
      <c r="O32" s="283">
        <f>'3.sz.m Önk  bev.'!P31+'5.1 sz. m Köz Hiv'!P13+'5.2 sz. m ÁMK'!P16</f>
        <v>2528398</v>
      </c>
      <c r="P32" s="283">
        <f>'3.sz.m Önk  bev.'!Q31+'5.1 sz. m Köz Hiv'!Q13+'5.2 sz. m ÁMK'!Q16</f>
        <v>3022798</v>
      </c>
      <c r="Q32" s="283">
        <f>'3.sz.m Önk  bev.'!R31+'5.1 sz. m Köz Hiv'!R13+'5.2 sz. m ÁMK'!R16</f>
        <v>0</v>
      </c>
      <c r="R32" s="360">
        <v>0</v>
      </c>
      <c r="S32" s="283"/>
      <c r="T32" s="283"/>
      <c r="U32" s="283"/>
      <c r="V32" s="283"/>
      <c r="W32" s="283"/>
      <c r="X32" s="360">
        <v>0</v>
      </c>
      <c r="Y32" s="360">
        <v>0</v>
      </c>
      <c r="Z32" s="360">
        <v>0</v>
      </c>
      <c r="AA32" s="360">
        <v>0</v>
      </c>
      <c r="AB32" s="360">
        <v>0</v>
      </c>
      <c r="AC32" s="360">
        <v>0</v>
      </c>
      <c r="AD32" s="360">
        <v>0</v>
      </c>
      <c r="AE32" s="1074"/>
    </row>
    <row r="33" spans="1:31" ht="21.75" customHeight="1" thickBot="1">
      <c r="A33" s="97"/>
      <c r="B33" s="98" t="s">
        <v>590</v>
      </c>
      <c r="C33" s="1114" t="s">
        <v>589</v>
      </c>
      <c r="D33" s="1119"/>
      <c r="E33" s="283"/>
      <c r="F33" s="283"/>
      <c r="G33" s="283"/>
      <c r="H33" s="283"/>
      <c r="I33" s="283">
        <f>'3.sz.m Önk  bev.'!I29</f>
        <v>237795</v>
      </c>
      <c r="J33" s="283">
        <f>'3.sz.m Önk  bev.'!J29</f>
        <v>297932</v>
      </c>
      <c r="K33" s="360"/>
      <c r="L33" s="283"/>
      <c r="M33" s="283"/>
      <c r="N33" s="283"/>
      <c r="O33" s="283">
        <f>'3.sz.m Önk  bev.'!P29</f>
        <v>237795</v>
      </c>
      <c r="P33" s="283">
        <f>+'3.sz.m Önk  bev.'!Q29</f>
        <v>297932</v>
      </c>
      <c r="Q33" s="283"/>
      <c r="R33" s="360"/>
      <c r="S33" s="283"/>
      <c r="T33" s="283"/>
      <c r="U33" s="283"/>
      <c r="V33" s="283"/>
      <c r="W33" s="283"/>
      <c r="X33" s="360"/>
      <c r="Y33" s="360"/>
      <c r="Z33" s="360"/>
      <c r="AA33" s="360"/>
      <c r="AB33" s="360"/>
      <c r="AC33" s="360"/>
      <c r="AD33" s="360"/>
      <c r="AE33" s="1074"/>
    </row>
    <row r="34" spans="1:31" ht="42.75" customHeight="1" thickBot="1">
      <c r="A34" s="100" t="s">
        <v>10</v>
      </c>
      <c r="B34" s="1108" t="s">
        <v>315</v>
      </c>
      <c r="C34" s="1108"/>
      <c r="D34" s="1108"/>
      <c r="E34" s="352">
        <f aca="true" t="shared" si="13" ref="E34:N34">SUM(E35:E39)</f>
        <v>255822270</v>
      </c>
      <c r="F34" s="103">
        <f t="shared" si="13"/>
        <v>255822270</v>
      </c>
      <c r="G34" s="103">
        <f>SUM(G35:G39)</f>
        <v>255822270</v>
      </c>
      <c r="H34" s="103">
        <f>SUM(H35:H39)</f>
        <v>264508418</v>
      </c>
      <c r="I34" s="103">
        <f>SUM(I35:I39)</f>
        <v>276651755</v>
      </c>
      <c r="J34" s="103">
        <f>SUM(J35:J39)</f>
        <v>280919250</v>
      </c>
      <c r="K34" s="352">
        <f t="shared" si="13"/>
        <v>255822270</v>
      </c>
      <c r="L34" s="103">
        <f t="shared" si="13"/>
        <v>255822270</v>
      </c>
      <c r="M34" s="103">
        <f>SUM(M35:M39)</f>
        <v>255822270</v>
      </c>
      <c r="N34" s="103">
        <f t="shared" si="13"/>
        <v>264508418</v>
      </c>
      <c r="O34" s="103">
        <f>SUM(O35:O39)</f>
        <v>276651755</v>
      </c>
      <c r="P34" s="103">
        <f>SUM(P35:P39)</f>
        <v>280919250</v>
      </c>
      <c r="Q34" s="736">
        <f t="shared" si="4"/>
        <v>1.062042758881118</v>
      </c>
      <c r="R34" s="352">
        <v>0</v>
      </c>
      <c r="S34" s="103"/>
      <c r="T34" s="103"/>
      <c r="U34" s="103"/>
      <c r="V34" s="103"/>
      <c r="W34" s="103"/>
      <c r="X34" s="352">
        <v>0</v>
      </c>
      <c r="Y34" s="352">
        <v>0</v>
      </c>
      <c r="Z34" s="352">
        <v>0</v>
      </c>
      <c r="AA34" s="352">
        <v>0</v>
      </c>
      <c r="AB34" s="352">
        <v>0</v>
      </c>
      <c r="AC34" s="352">
        <v>0</v>
      </c>
      <c r="AD34" s="352">
        <v>0</v>
      </c>
      <c r="AE34" s="1074"/>
    </row>
    <row r="35" spans="1:31" ht="21.75" customHeight="1">
      <c r="A35" s="94"/>
      <c r="B35" s="98" t="s">
        <v>42</v>
      </c>
      <c r="C35" s="1127" t="s">
        <v>316</v>
      </c>
      <c r="D35" s="1128"/>
      <c r="E35" s="360">
        <f>'3.sz.m Önk  bev.'!E33</f>
        <v>217306312</v>
      </c>
      <c r="F35" s="283">
        <f>'3.sz.m Önk  bev.'!F33</f>
        <v>219614077</v>
      </c>
      <c r="G35" s="283">
        <f>'3.sz.m Önk  bev.'!G33</f>
        <v>224664861</v>
      </c>
      <c r="H35" s="283">
        <f>'3.sz.m Önk  bev.'!H33</f>
        <v>227055192</v>
      </c>
      <c r="I35" s="283">
        <f>'3.sz.m Önk  bev.'!I33</f>
        <v>235168984</v>
      </c>
      <c r="J35" s="283">
        <f>'3.sz.m Önk  bev.'!J33</f>
        <v>240355940</v>
      </c>
      <c r="K35" s="360">
        <f>'3.sz.m Önk  bev.'!L33</f>
        <v>217306312</v>
      </c>
      <c r="L35" s="283">
        <f>'3.sz.m Önk  bev.'!M33</f>
        <v>219614077</v>
      </c>
      <c r="M35" s="283">
        <f>'3.sz.m Önk  bev.'!N33</f>
        <v>224664861</v>
      </c>
      <c r="N35" s="283">
        <f>'3.sz.m Önk  bev.'!O33</f>
        <v>227055192</v>
      </c>
      <c r="O35" s="283">
        <f>'3.sz.m Önk  bev.'!P33</f>
        <v>235168984</v>
      </c>
      <c r="P35" s="283">
        <f>'3.sz.m Önk  bev.'!Q33</f>
        <v>240355940</v>
      </c>
      <c r="Q35" s="737">
        <f t="shared" si="4"/>
        <v>1.0585793607397447</v>
      </c>
      <c r="R35" s="360">
        <v>0</v>
      </c>
      <c r="S35" s="283"/>
      <c r="T35" s="283"/>
      <c r="U35" s="283"/>
      <c r="V35" s="283"/>
      <c r="W35" s="283"/>
      <c r="X35" s="360">
        <v>0</v>
      </c>
      <c r="Y35" s="360">
        <v>0</v>
      </c>
      <c r="Z35" s="360">
        <v>0</v>
      </c>
      <c r="AA35" s="360">
        <v>0</v>
      </c>
      <c r="AB35" s="360">
        <v>0</v>
      </c>
      <c r="AC35" s="360">
        <v>0</v>
      </c>
      <c r="AD35" s="360">
        <v>0</v>
      </c>
      <c r="AE35" s="1074"/>
    </row>
    <row r="36" spans="1:31" ht="21.75" customHeight="1">
      <c r="A36" s="93"/>
      <c r="B36" s="98" t="s">
        <v>43</v>
      </c>
      <c r="C36" s="1114" t="s">
        <v>504</v>
      </c>
      <c r="D36" s="1119"/>
      <c r="E36" s="360">
        <f>'3.sz.m Önk  bev.'!E34</f>
        <v>0</v>
      </c>
      <c r="F36" s="283">
        <f>'3.sz.m Önk  bev.'!F34</f>
        <v>0</v>
      </c>
      <c r="G36" s="283">
        <f>'3.sz.m Önk  bev.'!G34</f>
        <v>2175574</v>
      </c>
      <c r="H36" s="283">
        <f>'3.sz.m Önk  bev.'!H34</f>
        <v>10861722</v>
      </c>
      <c r="I36" s="283">
        <f>'3.sz.m Önk  bev.'!I34</f>
        <v>14789347</v>
      </c>
      <c r="J36" s="283">
        <f>'3.sz.m Önk  bev.'!J34</f>
        <v>20499784</v>
      </c>
      <c r="K36" s="360">
        <f>'3.sz.m Önk  bev.'!L34</f>
        <v>0</v>
      </c>
      <c r="L36" s="283">
        <f>'3.sz.m Önk  bev.'!M34</f>
        <v>0</v>
      </c>
      <c r="M36" s="283">
        <f>'3.sz.m Önk  bev.'!N34</f>
        <v>2175574</v>
      </c>
      <c r="N36" s="283">
        <f>'3.sz.m Önk  bev.'!O34</f>
        <v>10861722</v>
      </c>
      <c r="O36" s="283">
        <f>'3.sz.m Önk  bev.'!P34</f>
        <v>14789347</v>
      </c>
      <c r="P36" s="283">
        <f>'3.sz.m Önk  bev.'!Q34</f>
        <v>20499784</v>
      </c>
      <c r="Q36" s="738">
        <f t="shared" si="4"/>
        <v>1.8873419886828258</v>
      </c>
      <c r="R36" s="360">
        <v>0</v>
      </c>
      <c r="S36" s="283"/>
      <c r="T36" s="283"/>
      <c r="U36" s="283"/>
      <c r="V36" s="283"/>
      <c r="W36" s="283"/>
      <c r="X36" s="360">
        <v>0</v>
      </c>
      <c r="Y36" s="360">
        <v>0</v>
      </c>
      <c r="Z36" s="360">
        <v>0</v>
      </c>
      <c r="AA36" s="360">
        <v>0</v>
      </c>
      <c r="AB36" s="360">
        <v>0</v>
      </c>
      <c r="AC36" s="360">
        <v>0</v>
      </c>
      <c r="AD36" s="360">
        <v>0</v>
      </c>
      <c r="AE36" s="1074"/>
    </row>
    <row r="37" spans="1:31" ht="21.75" customHeight="1">
      <c r="A37" s="93"/>
      <c r="B37" s="98" t="s">
        <v>67</v>
      </c>
      <c r="C37" s="1114" t="s">
        <v>441</v>
      </c>
      <c r="D37" s="1114"/>
      <c r="E37" s="360">
        <f>'3.sz.m Önk  bev.'!E35</f>
        <v>0</v>
      </c>
      <c r="F37" s="283">
        <f>'3.sz.m Önk  bev.'!F35</f>
        <v>0</v>
      </c>
      <c r="G37" s="283">
        <f>'3.sz.m Önk  bev.'!G35</f>
        <v>0</v>
      </c>
      <c r="H37" s="283">
        <f>'3.sz.m Önk  bev.'!H35</f>
        <v>0</v>
      </c>
      <c r="I37" s="283">
        <f>'3.sz.m Önk  bev.'!I35</f>
        <v>0</v>
      </c>
      <c r="J37" s="283">
        <f>'3.sz.m Önk  bev.'!J35</f>
        <v>0</v>
      </c>
      <c r="K37" s="360">
        <f>'3.sz.m Önk  bev.'!L35</f>
        <v>0</v>
      </c>
      <c r="L37" s="283">
        <f>'3.sz.m Önk  bev.'!M35</f>
        <v>0</v>
      </c>
      <c r="M37" s="283">
        <f>'3.sz.m Önk  bev.'!N35</f>
        <v>0</v>
      </c>
      <c r="N37" s="283">
        <f>'3.sz.m Önk  bev.'!O35</f>
        <v>0</v>
      </c>
      <c r="O37" s="283">
        <f>'3.sz.m Önk  bev.'!P35</f>
        <v>0</v>
      </c>
      <c r="P37" s="283">
        <f>'3.sz.m Önk  bev.'!Q35</f>
        <v>0</v>
      </c>
      <c r="Q37" s="738" t="e">
        <f t="shared" si="4"/>
        <v>#DIV/0!</v>
      </c>
      <c r="R37" s="360">
        <v>0</v>
      </c>
      <c r="S37" s="283"/>
      <c r="T37" s="283"/>
      <c r="U37" s="283"/>
      <c r="V37" s="283"/>
      <c r="W37" s="283"/>
      <c r="X37" s="360">
        <v>0</v>
      </c>
      <c r="Y37" s="360">
        <v>0</v>
      </c>
      <c r="Z37" s="360">
        <v>0</v>
      </c>
      <c r="AA37" s="360">
        <v>0</v>
      </c>
      <c r="AB37" s="360">
        <v>0</v>
      </c>
      <c r="AC37" s="360">
        <v>0</v>
      </c>
      <c r="AD37" s="360">
        <v>0</v>
      </c>
      <c r="AE37" s="1074"/>
    </row>
    <row r="38" spans="1:31" ht="21.75" customHeight="1">
      <c r="A38" s="93"/>
      <c r="B38" s="98" t="s">
        <v>68</v>
      </c>
      <c r="C38" s="1114" t="s">
        <v>359</v>
      </c>
      <c r="D38" s="1119"/>
      <c r="E38" s="360"/>
      <c r="F38" s="283"/>
      <c r="G38" s="283"/>
      <c r="H38" s="283"/>
      <c r="I38" s="283">
        <f>'3.sz.m Önk  bev.'!I36</f>
        <v>0</v>
      </c>
      <c r="J38" s="283">
        <f>'3.sz.m Önk  bev.'!J36</f>
        <v>0</v>
      </c>
      <c r="K38" s="360"/>
      <c r="L38" s="283"/>
      <c r="M38" s="283"/>
      <c r="N38" s="283"/>
      <c r="O38" s="283"/>
      <c r="P38" s="283"/>
      <c r="Q38" s="738"/>
      <c r="R38" s="360">
        <v>0</v>
      </c>
      <c r="S38" s="283"/>
      <c r="T38" s="283"/>
      <c r="U38" s="283"/>
      <c r="V38" s="283"/>
      <c r="W38" s="283"/>
      <c r="X38" s="360">
        <v>0</v>
      </c>
      <c r="Y38" s="360">
        <v>0</v>
      </c>
      <c r="Z38" s="360">
        <v>0</v>
      </c>
      <c r="AA38" s="360">
        <v>0</v>
      </c>
      <c r="AB38" s="360">
        <v>0</v>
      </c>
      <c r="AC38" s="360">
        <v>0</v>
      </c>
      <c r="AD38" s="360">
        <v>0</v>
      </c>
      <c r="AE38" s="1074"/>
    </row>
    <row r="39" spans="1:31" ht="45.75" customHeight="1">
      <c r="A39" s="93"/>
      <c r="B39" s="98" t="s">
        <v>355</v>
      </c>
      <c r="C39" s="1114" t="s">
        <v>317</v>
      </c>
      <c r="D39" s="1119"/>
      <c r="E39" s="360">
        <f aca="true" t="shared" si="14" ref="E39:N39">SUM(E40:E42)</f>
        <v>38515958</v>
      </c>
      <c r="F39" s="283">
        <f t="shared" si="14"/>
        <v>36208193</v>
      </c>
      <c r="G39" s="283">
        <f>SUM(G40:G42)</f>
        <v>28981835</v>
      </c>
      <c r="H39" s="283">
        <f>SUM(H40:H42)</f>
        <v>26591504</v>
      </c>
      <c r="I39" s="283">
        <f>SUM(I40:I42)</f>
        <v>26693424</v>
      </c>
      <c r="J39" s="283">
        <f>SUM(J40:J42)</f>
        <v>20063526</v>
      </c>
      <c r="K39" s="360">
        <f t="shared" si="14"/>
        <v>38515958</v>
      </c>
      <c r="L39" s="283">
        <f t="shared" si="14"/>
        <v>36208193</v>
      </c>
      <c r="M39" s="283">
        <f>SUM(M40:M42)</f>
        <v>28981835</v>
      </c>
      <c r="N39" s="283">
        <f t="shared" si="14"/>
        <v>26591504</v>
      </c>
      <c r="O39" s="283">
        <f>SUM(O40:O42)</f>
        <v>26693424</v>
      </c>
      <c r="P39" s="283">
        <f>SUM(P40:P42)</f>
        <v>20063526</v>
      </c>
      <c r="Q39" s="738">
        <f t="shared" si="4"/>
        <v>0.7545088837397087</v>
      </c>
      <c r="R39" s="360">
        <v>0</v>
      </c>
      <c r="S39" s="283"/>
      <c r="T39" s="283"/>
      <c r="U39" s="283"/>
      <c r="V39" s="283"/>
      <c r="W39" s="283"/>
      <c r="X39" s="360">
        <v>0</v>
      </c>
      <c r="Y39" s="360">
        <v>0</v>
      </c>
      <c r="Z39" s="360">
        <v>0</v>
      </c>
      <c r="AA39" s="360">
        <v>0</v>
      </c>
      <c r="AB39" s="360">
        <v>0</v>
      </c>
      <c r="AC39" s="360">
        <v>0</v>
      </c>
      <c r="AD39" s="360">
        <v>0</v>
      </c>
      <c r="AE39" s="1074"/>
    </row>
    <row r="40" spans="1:31" ht="21.75" customHeight="1">
      <c r="A40" s="93"/>
      <c r="B40" s="98"/>
      <c r="C40" s="95" t="s">
        <v>356</v>
      </c>
      <c r="D40" s="604" t="s">
        <v>33</v>
      </c>
      <c r="E40" s="360">
        <f>'3.sz.m Önk  bev.'!E38</f>
        <v>8066400</v>
      </c>
      <c r="F40" s="283">
        <f>'3.sz.m Önk  bev.'!F38</f>
        <v>8066400</v>
      </c>
      <c r="G40" s="283">
        <f>'3.sz.m Önk  bev.'!G38</f>
        <v>8066400</v>
      </c>
      <c r="H40" s="283">
        <f>'3.sz.m Önk  bev.'!H38</f>
        <v>8066400</v>
      </c>
      <c r="I40" s="283">
        <f>'3.sz.m Önk  bev.'!I38</f>
        <v>8066400</v>
      </c>
      <c r="J40" s="283">
        <f>'3.sz.m Önk  bev.'!J38</f>
        <v>8182000</v>
      </c>
      <c r="K40" s="360">
        <f>'3.sz.m Önk  bev.'!L38</f>
        <v>8066400</v>
      </c>
      <c r="L40" s="283">
        <f>'3.sz.m Önk  bev.'!M38</f>
        <v>8066400</v>
      </c>
      <c r="M40" s="283">
        <f>'3.sz.m Önk  bev.'!N38</f>
        <v>8066400</v>
      </c>
      <c r="N40" s="283">
        <f>'3.sz.m Önk  bev.'!O38</f>
        <v>8066400</v>
      </c>
      <c r="O40" s="283">
        <f>'3.sz.m Önk  bev.'!P38</f>
        <v>8066400</v>
      </c>
      <c r="P40" s="283">
        <f>'3.sz.m Önk  bev.'!Q38</f>
        <v>8182000</v>
      </c>
      <c r="Q40" s="738">
        <f t="shared" si="4"/>
        <v>1.0143310522661906</v>
      </c>
      <c r="R40" s="360">
        <v>0</v>
      </c>
      <c r="S40" s="283"/>
      <c r="T40" s="283"/>
      <c r="U40" s="283"/>
      <c r="V40" s="283"/>
      <c r="W40" s="283"/>
      <c r="X40" s="360">
        <v>0</v>
      </c>
      <c r="Y40" s="360">
        <v>0</v>
      </c>
      <c r="Z40" s="360">
        <v>0</v>
      </c>
      <c r="AA40" s="360">
        <v>0</v>
      </c>
      <c r="AB40" s="360">
        <v>0</v>
      </c>
      <c r="AC40" s="360">
        <v>0</v>
      </c>
      <c r="AD40" s="360">
        <v>0</v>
      </c>
      <c r="AE40" s="1074"/>
    </row>
    <row r="41" spans="1:31" ht="21.75" customHeight="1">
      <c r="A41" s="93"/>
      <c r="B41" s="98"/>
      <c r="C41" s="89" t="s">
        <v>357</v>
      </c>
      <c r="D41" s="321" t="s">
        <v>32</v>
      </c>
      <c r="E41" s="360">
        <f>'3.sz.m Önk  bev.'!E39+'5.2 sz. m ÁMK'!D20</f>
        <v>0</v>
      </c>
      <c r="F41" s="283">
        <f>'3.sz.m Önk  bev.'!F39+'5.2 sz. m ÁMK'!E20</f>
        <v>0</v>
      </c>
      <c r="G41" s="283">
        <f>'3.sz.m Önk  bev.'!G39+'5.2 sz. m ÁMK'!F20</f>
        <v>0</v>
      </c>
      <c r="H41" s="283">
        <f>'3.sz.m Önk  bev.'!H39+'5.2 sz. m ÁMK'!G20</f>
        <v>0</v>
      </c>
      <c r="I41" s="283">
        <f>'3.sz.m Önk  bev.'!I39+'5.2 sz. m ÁMK'!H20</f>
        <v>3844000</v>
      </c>
      <c r="J41" s="283">
        <f>'3.sz.m Önk  bev.'!J39+'5.2 sz. m ÁMK'!I20</f>
        <v>3844000</v>
      </c>
      <c r="K41" s="360">
        <f>'3.sz.m Önk  bev.'!L39+'5.2 sz. m ÁMK'!L20</f>
        <v>0</v>
      </c>
      <c r="L41" s="283">
        <f>'3.sz.m Önk  bev.'!M39+'5.2 sz. m ÁMK'!M20</f>
        <v>0</v>
      </c>
      <c r="M41" s="283">
        <f>'3.sz.m Önk  bev.'!N39+'5.2 sz. m ÁMK'!N20</f>
        <v>0</v>
      </c>
      <c r="N41" s="283">
        <f>'3.sz.m Önk  bev.'!O39+'5.2 sz. m ÁMK'!O20</f>
        <v>0</v>
      </c>
      <c r="O41" s="283">
        <f>'3.sz.m Önk  bev.'!P39+'5.2 sz. m ÁMK'!P20</f>
        <v>3844000</v>
      </c>
      <c r="P41" s="283">
        <f>'3.sz.m Önk  bev.'!Q39+'5.2 sz. m ÁMK'!Q20</f>
        <v>3844000</v>
      </c>
      <c r="Q41" s="738"/>
      <c r="R41" s="360">
        <v>0</v>
      </c>
      <c r="S41" s="283"/>
      <c r="T41" s="283"/>
      <c r="U41" s="283"/>
      <c r="V41" s="283"/>
      <c r="W41" s="283"/>
      <c r="X41" s="360">
        <v>0</v>
      </c>
      <c r="Y41" s="360">
        <v>0</v>
      </c>
      <c r="Z41" s="360">
        <v>0</v>
      </c>
      <c r="AA41" s="360">
        <v>0</v>
      </c>
      <c r="AB41" s="360">
        <v>0</v>
      </c>
      <c r="AC41" s="360">
        <v>0</v>
      </c>
      <c r="AD41" s="360">
        <v>0</v>
      </c>
      <c r="AE41" s="1074"/>
    </row>
    <row r="42" spans="1:31" ht="21.75" customHeight="1" thickBot="1">
      <c r="A42" s="93"/>
      <c r="B42" s="98"/>
      <c r="C42" s="89" t="s">
        <v>358</v>
      </c>
      <c r="D42" s="321" t="s">
        <v>34</v>
      </c>
      <c r="E42" s="360">
        <f>'3.sz.m Önk  bev.'!E40+'5.1 sz. m Köz Hiv'!D16</f>
        <v>30449558</v>
      </c>
      <c r="F42" s="360">
        <f>'3.sz.m Önk  bev.'!F40+'5.1 sz. m Köz Hiv'!E16</f>
        <v>28141793</v>
      </c>
      <c r="G42" s="360">
        <f>'3.sz.m Önk  bev.'!G40+'5.1 sz. m Köz Hiv'!F16</f>
        <v>20915435</v>
      </c>
      <c r="H42" s="360">
        <f>'3.sz.m Önk  bev.'!H40+'5.1 sz. m Köz Hiv'!G16</f>
        <v>18525104</v>
      </c>
      <c r="I42" s="360">
        <f>'3.sz.m Önk  bev.'!I40+'5.1 sz. m Köz Hiv'!H16+'5.2 sz. m ÁMK'!H19</f>
        <v>14783024</v>
      </c>
      <c r="J42" s="360">
        <f>'3.sz.m Önk  bev.'!J40+'5.1 sz. m Köz Hiv'!I16+'5.2 sz. m ÁMK'!I19</f>
        <v>8037526</v>
      </c>
      <c r="K42" s="360">
        <f>'3.sz.m Önk  bev.'!L40+'5.1 sz. m Köz Hiv'!L16</f>
        <v>30449558</v>
      </c>
      <c r="L42" s="360">
        <f>'3.sz.m Önk  bev.'!M40+'5.1 sz. m Köz Hiv'!M16</f>
        <v>28141793</v>
      </c>
      <c r="M42" s="360">
        <f>'3.sz.m Önk  bev.'!N40+'5.1 sz. m Köz Hiv'!N16</f>
        <v>20915435</v>
      </c>
      <c r="N42" s="360">
        <f>'3.sz.m Önk  bev.'!O40+'5.1 sz. m Köz Hiv'!O16+'5.2 sz. m ÁMK'!O19</f>
        <v>18525104</v>
      </c>
      <c r="O42" s="360">
        <f>'3.sz.m Önk  bev.'!P40+'5.1 sz. m Köz Hiv'!P16+'5.2 sz. m ÁMK'!P19</f>
        <v>14783024</v>
      </c>
      <c r="P42" s="360">
        <f>'3.sz.m Önk  bev.'!Q40+'5.1 sz. m Köz Hiv'!Q16+'5.2 sz. m ÁMK'!Q19</f>
        <v>8037526</v>
      </c>
      <c r="Q42" s="739">
        <f t="shared" si="4"/>
        <v>0.433872112134971</v>
      </c>
      <c r="R42" s="360">
        <v>0</v>
      </c>
      <c r="S42" s="283"/>
      <c r="T42" s="283"/>
      <c r="U42" s="283"/>
      <c r="V42" s="283"/>
      <c r="W42" s="283"/>
      <c r="X42" s="360">
        <v>0</v>
      </c>
      <c r="Y42" s="360">
        <v>0</v>
      </c>
      <c r="Z42" s="360">
        <v>0</v>
      </c>
      <c r="AA42" s="360">
        <v>0</v>
      </c>
      <c r="AB42" s="360">
        <v>0</v>
      </c>
      <c r="AC42" s="360">
        <v>0</v>
      </c>
      <c r="AD42" s="360">
        <v>0</v>
      </c>
      <c r="AE42" s="1074"/>
    </row>
    <row r="43" spans="1:31" ht="33" customHeight="1" thickBot="1">
      <c r="A43" s="100" t="s">
        <v>11</v>
      </c>
      <c r="B43" s="1133" t="s">
        <v>318</v>
      </c>
      <c r="C43" s="1133"/>
      <c r="D43" s="1133"/>
      <c r="E43" s="352">
        <f>SUM(E44:E45)</f>
        <v>40000000</v>
      </c>
      <c r="F43" s="103">
        <f>SUM(F44:F45)+F49</f>
        <v>40000000</v>
      </c>
      <c r="G43" s="103">
        <f>SUM(G44:G45)+G49</f>
        <v>40000000</v>
      </c>
      <c r="H43" s="103">
        <f>SUM(H44:H45)+H49</f>
        <v>208644474</v>
      </c>
      <c r="I43" s="103">
        <f>SUM(I44:I45)+I49</f>
        <v>204800474</v>
      </c>
      <c r="J43" s="103">
        <f>SUM(J44:J45)+J49</f>
        <v>205085474</v>
      </c>
      <c r="K43" s="352">
        <f>SUM(K44:K45)</f>
        <v>40000000</v>
      </c>
      <c r="L43" s="103">
        <f>SUM(L44:L45)</f>
        <v>40000000</v>
      </c>
      <c r="M43" s="103">
        <f>SUM(M44:M45)</f>
        <v>40000000</v>
      </c>
      <c r="N43" s="103">
        <f>SUM(N44:N45)+N49</f>
        <v>208644474</v>
      </c>
      <c r="O43" s="103">
        <f>SUM(O44:O45)+O49</f>
        <v>204800474</v>
      </c>
      <c r="P43" s="103">
        <f>SUM(P44:P45)+P49</f>
        <v>205085474</v>
      </c>
      <c r="Q43" s="736">
        <f t="shared" si="4"/>
        <v>0.9829422752888246</v>
      </c>
      <c r="R43" s="352">
        <f>SUM(R44:R45)</f>
        <v>0</v>
      </c>
      <c r="S43" s="103">
        <f>SUM(S44:S45)</f>
        <v>0</v>
      </c>
      <c r="T43" s="103">
        <f>SUM(T44:T45)</f>
        <v>0</v>
      </c>
      <c r="U43" s="103">
        <f>SUM(U44:U45)+U49</f>
        <v>0</v>
      </c>
      <c r="V43" s="103">
        <f>SUM(V44:V45)+V49</f>
        <v>0</v>
      </c>
      <c r="W43" s="103">
        <f>SUM(W44:W45)+W49</f>
        <v>0</v>
      </c>
      <c r="X43" s="352">
        <f aca="true" t="shared" si="15" ref="X43:AD43">SUM(X44:X45)</f>
        <v>0</v>
      </c>
      <c r="Y43" s="352">
        <f t="shared" si="15"/>
        <v>0</v>
      </c>
      <c r="Z43" s="352">
        <f t="shared" si="15"/>
        <v>0</v>
      </c>
      <c r="AA43" s="352">
        <f t="shared" si="15"/>
        <v>0</v>
      </c>
      <c r="AB43" s="352">
        <f t="shared" si="15"/>
        <v>0</v>
      </c>
      <c r="AC43" s="352">
        <f t="shared" si="15"/>
        <v>0</v>
      </c>
      <c r="AD43" s="352">
        <f t="shared" si="15"/>
        <v>0</v>
      </c>
      <c r="AE43" s="1074"/>
    </row>
    <row r="44" spans="1:31" ht="21.75" customHeight="1">
      <c r="A44" s="94"/>
      <c r="B44" s="101" t="s">
        <v>319</v>
      </c>
      <c r="C44" s="1122" t="s">
        <v>321</v>
      </c>
      <c r="D44" s="1122"/>
      <c r="E44" s="360">
        <f>'3.sz.m Önk  bev.'!E42</f>
        <v>40000000</v>
      </c>
      <c r="F44" s="283">
        <f>'3.sz.m Önk  bev.'!F42</f>
        <v>40000000</v>
      </c>
      <c r="G44" s="283">
        <f>'3.sz.m Önk  bev.'!G42</f>
        <v>40000000</v>
      </c>
      <c r="H44" s="283">
        <f>'3.sz.m Önk  bev.'!H42</f>
        <v>40000000</v>
      </c>
      <c r="I44" s="283">
        <f>'3.sz.m Önk  bev.'!I42</f>
        <v>40000000</v>
      </c>
      <c r="J44" s="283">
        <f>'3.sz.m Önk  bev.'!J42</f>
        <v>40285000</v>
      </c>
      <c r="K44" s="360">
        <f>'3.sz.m Önk  bev.'!L42</f>
        <v>40000000</v>
      </c>
      <c r="L44" s="283">
        <f>'3.sz.m Önk  bev.'!M42</f>
        <v>40000000</v>
      </c>
      <c r="M44" s="283">
        <f>'3.sz.m Önk  bev.'!N42</f>
        <v>40000000</v>
      </c>
      <c r="N44" s="283">
        <f>'3.sz.m Önk  bev.'!O42</f>
        <v>40000000</v>
      </c>
      <c r="O44" s="283">
        <f>'3.sz.m Önk  bev.'!P42</f>
        <v>40000000</v>
      </c>
      <c r="P44" s="283">
        <f>'3.sz.m Önk  bev.'!Q42</f>
        <v>40285000</v>
      </c>
      <c r="Q44" s="740"/>
      <c r="R44" s="360">
        <v>0</v>
      </c>
      <c r="S44" s="283"/>
      <c r="T44" s="283"/>
      <c r="U44" s="283"/>
      <c r="V44" s="283"/>
      <c r="W44" s="283"/>
      <c r="X44" s="360">
        <v>0</v>
      </c>
      <c r="Y44" s="360">
        <v>0</v>
      </c>
      <c r="Z44" s="360">
        <v>0</v>
      </c>
      <c r="AA44" s="360">
        <v>0</v>
      </c>
      <c r="AB44" s="360">
        <v>0</v>
      </c>
      <c r="AC44" s="360">
        <v>0</v>
      </c>
      <c r="AD44" s="360">
        <v>0</v>
      </c>
      <c r="AE44" s="1074"/>
    </row>
    <row r="45" spans="1:31" ht="21.75" customHeight="1">
      <c r="A45" s="93"/>
      <c r="B45" s="90" t="s">
        <v>320</v>
      </c>
      <c r="C45" s="1114" t="s">
        <v>322</v>
      </c>
      <c r="D45" s="1114"/>
      <c r="E45" s="360">
        <f aca="true" t="shared" si="16" ref="E45:N45">SUM(E46:E48)</f>
        <v>0</v>
      </c>
      <c r="F45" s="283">
        <f t="shared" si="16"/>
        <v>0</v>
      </c>
      <c r="G45" s="283">
        <f>SUM(G46:G48)</f>
        <v>0</v>
      </c>
      <c r="H45" s="283">
        <f>SUM(H46:H48)</f>
        <v>168644474</v>
      </c>
      <c r="I45" s="283">
        <f>SUM(I46:I48)</f>
        <v>164800474</v>
      </c>
      <c r="J45" s="283">
        <f>SUM(J46:J48)</f>
        <v>164800474</v>
      </c>
      <c r="K45" s="360">
        <f t="shared" si="16"/>
        <v>0</v>
      </c>
      <c r="L45" s="283">
        <f t="shared" si="16"/>
        <v>0</v>
      </c>
      <c r="M45" s="283">
        <f>SUM(M46:M48)</f>
        <v>0</v>
      </c>
      <c r="N45" s="283">
        <f t="shared" si="16"/>
        <v>168644474</v>
      </c>
      <c r="O45" s="283">
        <f>SUM(O46:O48)</f>
        <v>164800474</v>
      </c>
      <c r="P45" s="283">
        <f>SUM(P46:P48)</f>
        <v>164800474</v>
      </c>
      <c r="Q45" s="720">
        <f t="shared" si="4"/>
        <v>0.9772064870622443</v>
      </c>
      <c r="R45" s="360">
        <v>0</v>
      </c>
      <c r="S45" s="283"/>
      <c r="T45" s="283"/>
      <c r="U45" s="283"/>
      <c r="V45" s="283"/>
      <c r="W45" s="283"/>
      <c r="X45" s="360">
        <v>0</v>
      </c>
      <c r="Y45" s="360">
        <v>0</v>
      </c>
      <c r="Z45" s="360">
        <v>0</v>
      </c>
      <c r="AA45" s="360">
        <v>0</v>
      </c>
      <c r="AB45" s="360">
        <v>0</v>
      </c>
      <c r="AC45" s="360">
        <v>0</v>
      </c>
      <c r="AD45" s="360">
        <v>0</v>
      </c>
      <c r="AE45" s="1074"/>
    </row>
    <row r="46" spans="1:31" ht="21.75" customHeight="1">
      <c r="A46" s="93"/>
      <c r="B46" s="101"/>
      <c r="C46" s="95" t="s">
        <v>323</v>
      </c>
      <c r="D46" s="604" t="s">
        <v>33</v>
      </c>
      <c r="E46" s="360">
        <f>'3.sz.m Önk  bev.'!E44</f>
        <v>0</v>
      </c>
      <c r="F46" s="283">
        <f>'3.sz.m Önk  bev.'!F44</f>
        <v>0</v>
      </c>
      <c r="G46" s="283">
        <f>'3.sz.m Önk  bev.'!G44</f>
        <v>0</v>
      </c>
      <c r="H46" s="283">
        <f>'3.sz.m Önk  bev.'!H44</f>
        <v>0</v>
      </c>
      <c r="I46" s="283">
        <f>'3.sz.m Önk  bev.'!I44</f>
        <v>0</v>
      </c>
      <c r="J46" s="283">
        <f>'3.sz.m Önk  bev.'!J44</f>
        <v>0</v>
      </c>
      <c r="K46" s="360">
        <f>'3.sz.m Önk  bev.'!L44</f>
        <v>0</v>
      </c>
      <c r="L46" s="283">
        <f>'3.sz.m Önk  bev.'!M44</f>
        <v>0</v>
      </c>
      <c r="M46" s="283">
        <f>'3.sz.m Önk  bev.'!N44</f>
        <v>0</v>
      </c>
      <c r="N46" s="283">
        <f>'3.sz.m Önk  bev.'!O44</f>
        <v>0</v>
      </c>
      <c r="O46" s="283">
        <f>'3.sz.m Önk  bev.'!P44</f>
        <v>0</v>
      </c>
      <c r="P46" s="283">
        <f>'3.sz.m Önk  bev.'!Q44</f>
        <v>0</v>
      </c>
      <c r="Q46" s="720"/>
      <c r="R46" s="360">
        <v>0</v>
      </c>
      <c r="S46" s="283"/>
      <c r="T46" s="283"/>
      <c r="U46" s="283"/>
      <c r="V46" s="283"/>
      <c r="W46" s="283"/>
      <c r="X46" s="360">
        <v>0</v>
      </c>
      <c r="Y46" s="360">
        <v>0</v>
      </c>
      <c r="Z46" s="360">
        <v>0</v>
      </c>
      <c r="AA46" s="360">
        <v>0</v>
      </c>
      <c r="AB46" s="360">
        <v>0</v>
      </c>
      <c r="AC46" s="360">
        <v>0</v>
      </c>
      <c r="AD46" s="360">
        <v>0</v>
      </c>
      <c r="AE46" s="1074"/>
    </row>
    <row r="47" spans="1:31" ht="21.75" customHeight="1">
      <c r="A47" s="93"/>
      <c r="B47" s="90"/>
      <c r="C47" s="89" t="s">
        <v>324</v>
      </c>
      <c r="D47" s="604" t="s">
        <v>32</v>
      </c>
      <c r="E47" s="360">
        <f>'3.sz.m Önk  bev.'!E45</f>
        <v>0</v>
      </c>
      <c r="F47" s="283">
        <f>'3.sz.m Önk  bev.'!F45</f>
        <v>0</v>
      </c>
      <c r="G47" s="283">
        <f>'3.sz.m Önk  bev.'!G45</f>
        <v>0</v>
      </c>
      <c r="H47" s="283">
        <f>'3.sz.m Önk  bev.'!H45</f>
        <v>0</v>
      </c>
      <c r="I47" s="283">
        <f>'3.sz.m Önk  bev.'!I45</f>
        <v>164800474</v>
      </c>
      <c r="J47" s="283">
        <f>'3.sz.m Önk  bev.'!J45</f>
        <v>164800474</v>
      </c>
      <c r="K47" s="360">
        <f>'3.sz.m Önk  bev.'!L45</f>
        <v>0</v>
      </c>
      <c r="L47" s="283">
        <f>'3.sz.m Önk  bev.'!M45</f>
        <v>0</v>
      </c>
      <c r="M47" s="283">
        <f>'3.sz.m Önk  bev.'!N45</f>
        <v>0</v>
      </c>
      <c r="N47" s="283">
        <f>'3.sz.m Önk  bev.'!O45</f>
        <v>0</v>
      </c>
      <c r="O47" s="283">
        <f>'3.sz.m Önk  bev.'!P45</f>
        <v>164800474</v>
      </c>
      <c r="P47" s="283">
        <f>'3.sz.m Önk  bev.'!Q45</f>
        <v>164800474</v>
      </c>
      <c r="Q47" s="720"/>
      <c r="R47" s="360">
        <v>0</v>
      </c>
      <c r="S47" s="283"/>
      <c r="T47" s="283"/>
      <c r="U47" s="283"/>
      <c r="V47" s="283"/>
      <c r="W47" s="283"/>
      <c r="X47" s="360">
        <v>0</v>
      </c>
      <c r="Y47" s="360">
        <v>0</v>
      </c>
      <c r="Z47" s="360">
        <v>0</v>
      </c>
      <c r="AA47" s="360">
        <v>0</v>
      </c>
      <c r="AB47" s="360">
        <v>0</v>
      </c>
      <c r="AC47" s="360">
        <v>0</v>
      </c>
      <c r="AD47" s="360">
        <v>0</v>
      </c>
      <c r="AE47" s="1074"/>
    </row>
    <row r="48" spans="1:31" ht="21.75" customHeight="1">
      <c r="A48" s="97"/>
      <c r="B48" s="101"/>
      <c r="C48" s="95" t="s">
        <v>325</v>
      </c>
      <c r="D48" s="604" t="s">
        <v>326</v>
      </c>
      <c r="E48" s="360">
        <f>'3.sz.m Önk  bev.'!E46</f>
        <v>0</v>
      </c>
      <c r="F48" s="283">
        <f>'3.sz.m Önk  bev.'!F46</f>
        <v>0</v>
      </c>
      <c r="G48" s="283">
        <f>'3.sz.m Önk  bev.'!G46</f>
        <v>0</v>
      </c>
      <c r="H48" s="283">
        <f>'3.sz.m Önk  bev.'!H46</f>
        <v>168644474</v>
      </c>
      <c r="I48" s="283">
        <f>'3.sz.m Önk  bev.'!I46</f>
        <v>0</v>
      </c>
      <c r="J48" s="283">
        <f>'3.sz.m Önk  bev.'!J46</f>
        <v>0</v>
      </c>
      <c r="K48" s="360">
        <f>'3.sz.m Önk  bev.'!L46</f>
        <v>0</v>
      </c>
      <c r="L48" s="283">
        <f>'3.sz.m Önk  bev.'!M46</f>
        <v>0</v>
      </c>
      <c r="M48" s="283">
        <f>'3.sz.m Önk  bev.'!N46</f>
        <v>0</v>
      </c>
      <c r="N48" s="283">
        <f>'3.sz.m Önk  bev.'!O46</f>
        <v>168644474</v>
      </c>
      <c r="O48" s="283">
        <f>'3.sz.m Önk  bev.'!P46</f>
        <v>0</v>
      </c>
      <c r="P48" s="283">
        <f>'3.sz.m Önk  bev.'!Q46</f>
        <v>0</v>
      </c>
      <c r="Q48" s="720">
        <f t="shared" si="4"/>
        <v>0</v>
      </c>
      <c r="R48" s="360">
        <v>0</v>
      </c>
      <c r="S48" s="283"/>
      <c r="T48" s="283"/>
      <c r="U48" s="283"/>
      <c r="V48" s="283"/>
      <c r="W48" s="283"/>
      <c r="X48" s="360">
        <v>0</v>
      </c>
      <c r="Y48" s="360">
        <v>0</v>
      </c>
      <c r="Z48" s="360">
        <v>0</v>
      </c>
      <c r="AA48" s="360">
        <v>0</v>
      </c>
      <c r="AB48" s="360">
        <v>0</v>
      </c>
      <c r="AC48" s="360">
        <v>0</v>
      </c>
      <c r="AD48" s="360">
        <v>0</v>
      </c>
      <c r="AE48" s="1074"/>
    </row>
    <row r="49" spans="1:31" ht="21.75" customHeight="1" thickBot="1">
      <c r="A49" s="366"/>
      <c r="B49" s="90" t="s">
        <v>351</v>
      </c>
      <c r="C49" s="1114" t="s">
        <v>499</v>
      </c>
      <c r="D49" s="1114"/>
      <c r="E49" s="360"/>
      <c r="F49" s="283">
        <f>'3.sz.m Önk  bev.'!F47</f>
        <v>0</v>
      </c>
      <c r="G49" s="283">
        <f>'3.sz.m Önk  bev.'!G47</f>
        <v>0</v>
      </c>
      <c r="H49" s="283">
        <f>'3.sz.m Önk  bev.'!H47</f>
        <v>0</v>
      </c>
      <c r="I49" s="283">
        <f>'3.sz.m Önk  bev.'!I47</f>
        <v>0</v>
      </c>
      <c r="J49" s="283">
        <f>'3.sz.m Önk  bev.'!J47</f>
        <v>0</v>
      </c>
      <c r="K49" s="360"/>
      <c r="L49" s="283"/>
      <c r="M49" s="283"/>
      <c r="N49" s="283">
        <f>'3.sz.m Önk  bev.'!O47</f>
        <v>0</v>
      </c>
      <c r="O49" s="283">
        <f>'3.sz.m Önk  bev.'!P47</f>
        <v>0</v>
      </c>
      <c r="P49" s="283">
        <f>'3.sz.m Önk  bev.'!Q47</f>
        <v>0</v>
      </c>
      <c r="Q49" s="720"/>
      <c r="R49" s="360">
        <v>0</v>
      </c>
      <c r="S49" s="283"/>
      <c r="T49" s="283"/>
      <c r="U49" s="283">
        <f>'3.sz.m Önk  bev.'!V47</f>
        <v>0</v>
      </c>
      <c r="V49" s="283">
        <f>'3.sz.m Önk  bev.'!W47</f>
        <v>0</v>
      </c>
      <c r="W49" s="283">
        <f>'3.sz.m Önk  bev.'!X47</f>
        <v>0</v>
      </c>
      <c r="X49" s="360">
        <v>0</v>
      </c>
      <c r="Y49" s="360">
        <v>0</v>
      </c>
      <c r="Z49" s="360">
        <v>0</v>
      </c>
      <c r="AA49" s="360">
        <v>0</v>
      </c>
      <c r="AB49" s="360">
        <v>0</v>
      </c>
      <c r="AC49" s="360">
        <v>0</v>
      </c>
      <c r="AD49" s="360">
        <v>0</v>
      </c>
      <c r="AE49" s="1074"/>
    </row>
    <row r="50" spans="1:31" ht="21.75" customHeight="1" hidden="1" thickBot="1">
      <c r="A50" s="366"/>
      <c r="B50" s="101"/>
      <c r="C50" s="1131"/>
      <c r="D50" s="1132"/>
      <c r="E50" s="547"/>
      <c r="F50" s="548"/>
      <c r="G50" s="548"/>
      <c r="H50" s="548"/>
      <c r="I50" s="548"/>
      <c r="J50" s="548"/>
      <c r="K50" s="547"/>
      <c r="L50" s="548"/>
      <c r="M50" s="548"/>
      <c r="N50" s="548"/>
      <c r="O50" s="548"/>
      <c r="P50" s="548"/>
      <c r="Q50" s="721" t="e">
        <f t="shared" si="4"/>
        <v>#DIV/0!</v>
      </c>
      <c r="R50" s="547"/>
      <c r="S50" s="548"/>
      <c r="T50" s="548"/>
      <c r="U50" s="548"/>
      <c r="V50" s="548"/>
      <c r="W50" s="548"/>
      <c r="X50" s="547"/>
      <c r="Y50" s="547"/>
      <c r="Z50" s="547"/>
      <c r="AA50" s="547"/>
      <c r="AB50" s="547"/>
      <c r="AC50" s="547"/>
      <c r="AD50" s="547"/>
      <c r="AE50" s="1074"/>
    </row>
    <row r="51" spans="1:31" ht="21.75" customHeight="1" thickBot="1">
      <c r="A51" s="100" t="s">
        <v>12</v>
      </c>
      <c r="B51" s="1108" t="s">
        <v>74</v>
      </c>
      <c r="C51" s="1108"/>
      <c r="D51" s="1108"/>
      <c r="E51" s="352">
        <f aca="true" t="shared" si="17" ref="E51:N51">E52+E53</f>
        <v>0</v>
      </c>
      <c r="F51" s="103">
        <f t="shared" si="17"/>
        <v>0</v>
      </c>
      <c r="G51" s="103">
        <f>G52+G53</f>
        <v>568000</v>
      </c>
      <c r="H51" s="103">
        <f>H52+H53</f>
        <v>568000</v>
      </c>
      <c r="I51" s="103">
        <f>I52+I53</f>
        <v>568000</v>
      </c>
      <c r="J51" s="103">
        <f>J52+J53</f>
        <v>568000</v>
      </c>
      <c r="K51" s="352">
        <f t="shared" si="17"/>
        <v>0</v>
      </c>
      <c r="L51" s="103">
        <f t="shared" si="17"/>
        <v>0</v>
      </c>
      <c r="M51" s="103">
        <f>M52+M53</f>
        <v>460000</v>
      </c>
      <c r="N51" s="103">
        <f t="shared" si="17"/>
        <v>460000</v>
      </c>
      <c r="O51" s="103">
        <f>O52+O53</f>
        <v>460000</v>
      </c>
      <c r="P51" s="103">
        <f>P52+P53</f>
        <v>568000</v>
      </c>
      <c r="Q51" s="736">
        <f t="shared" si="4"/>
        <v>1.2347826086956522</v>
      </c>
      <c r="R51" s="352">
        <f aca="true" t="shared" si="18" ref="R51:W51">R52+R53</f>
        <v>0</v>
      </c>
      <c r="S51" s="103">
        <f t="shared" si="18"/>
        <v>0</v>
      </c>
      <c r="T51" s="103">
        <f t="shared" si="18"/>
        <v>0</v>
      </c>
      <c r="U51" s="103">
        <f t="shared" si="18"/>
        <v>0</v>
      </c>
      <c r="V51" s="103">
        <f t="shared" si="18"/>
        <v>0</v>
      </c>
      <c r="W51" s="103">
        <f t="shared" si="18"/>
        <v>0</v>
      </c>
      <c r="X51" s="352">
        <f aca="true" t="shared" si="19" ref="X51:AD51">X52+X53</f>
        <v>0</v>
      </c>
      <c r="Y51" s="352">
        <f t="shared" si="19"/>
        <v>0</v>
      </c>
      <c r="Z51" s="352">
        <f t="shared" si="19"/>
        <v>0</v>
      </c>
      <c r="AA51" s="352">
        <f t="shared" si="19"/>
        <v>0</v>
      </c>
      <c r="AB51" s="352">
        <f t="shared" si="19"/>
        <v>0</v>
      </c>
      <c r="AC51" s="352">
        <f t="shared" si="19"/>
        <v>0</v>
      </c>
      <c r="AD51" s="352">
        <f t="shared" si="19"/>
        <v>0</v>
      </c>
      <c r="AE51" s="1074"/>
    </row>
    <row r="52" spans="1:31" s="7" customFormat="1" ht="21.75" customHeight="1">
      <c r="A52" s="102"/>
      <c r="B52" s="101" t="s">
        <v>44</v>
      </c>
      <c r="C52" s="1122" t="s">
        <v>338</v>
      </c>
      <c r="D52" s="1122"/>
      <c r="E52" s="360">
        <f>'3.sz.m Önk  bev.'!E50</f>
        <v>0</v>
      </c>
      <c r="F52" s="283">
        <f>'3.sz.m Önk  bev.'!F50</f>
        <v>0</v>
      </c>
      <c r="G52" s="283">
        <f>'3.sz.m Önk  bev.'!G50+'5.2 sz. m ÁMK'!F24</f>
        <v>368000</v>
      </c>
      <c r="H52" s="283">
        <f>'3.sz.m Önk  bev.'!H50+'5.2 sz. m ÁMK'!G24</f>
        <v>368000</v>
      </c>
      <c r="I52" s="283">
        <f>'3.sz.m Önk  bev.'!I50+'5.2 sz. m ÁMK'!H24</f>
        <v>368000</v>
      </c>
      <c r="J52" s="283">
        <f>'3.sz.m Önk  bev.'!J50+'5.2 sz. m ÁMK'!I24</f>
        <v>368000</v>
      </c>
      <c r="K52" s="360">
        <f>'3.sz.m Önk  bev.'!L50</f>
        <v>0</v>
      </c>
      <c r="L52" s="360">
        <f>'3.sz.m Önk  bev.'!M50</f>
        <v>0</v>
      </c>
      <c r="M52" s="360">
        <f>'3.sz.m Önk  bev.'!N50</f>
        <v>260000</v>
      </c>
      <c r="N52" s="360">
        <f>'3.sz.m Önk  bev.'!O50</f>
        <v>260000</v>
      </c>
      <c r="O52" s="360">
        <f>'3.sz.m Önk  bev.'!P50</f>
        <v>260000</v>
      </c>
      <c r="P52" s="360">
        <f>'3.sz.m Önk  bev.'!Q50+'5.2 sz. m ÁMK'!I24</f>
        <v>368000</v>
      </c>
      <c r="Q52" s="720">
        <f t="shared" si="4"/>
        <v>1.4153846153846155</v>
      </c>
      <c r="R52" s="360">
        <v>0</v>
      </c>
      <c r="S52" s="283"/>
      <c r="T52" s="283"/>
      <c r="U52" s="283"/>
      <c r="V52" s="283"/>
      <c r="W52" s="283"/>
      <c r="X52" s="360">
        <v>0</v>
      </c>
      <c r="Y52" s="360">
        <v>0</v>
      </c>
      <c r="Z52" s="360">
        <v>0</v>
      </c>
      <c r="AA52" s="360">
        <v>0</v>
      </c>
      <c r="AB52" s="360">
        <v>0</v>
      </c>
      <c r="AC52" s="360">
        <v>0</v>
      </c>
      <c r="AD52" s="360">
        <v>0</v>
      </c>
      <c r="AE52" s="1074"/>
    </row>
    <row r="53" spans="1:31" ht="21.75" customHeight="1" thickBot="1">
      <c r="A53" s="93"/>
      <c r="B53" s="89" t="s">
        <v>45</v>
      </c>
      <c r="C53" s="1114" t="s">
        <v>483</v>
      </c>
      <c r="D53" s="1114"/>
      <c r="E53" s="360">
        <f>'3.sz.m Önk  bev.'!E51</f>
        <v>0</v>
      </c>
      <c r="F53" s="283">
        <f>'3.sz.m Önk  bev.'!F51</f>
        <v>0</v>
      </c>
      <c r="G53" s="283">
        <f>'3.sz.m Önk  bev.'!G51</f>
        <v>200000</v>
      </c>
      <c r="H53" s="283">
        <f>'3.sz.m Önk  bev.'!H51</f>
        <v>200000</v>
      </c>
      <c r="I53" s="283">
        <f>'3.sz.m Önk  bev.'!I51</f>
        <v>200000</v>
      </c>
      <c r="J53" s="283">
        <f>'3.sz.m Önk  bev.'!J51</f>
        <v>200000</v>
      </c>
      <c r="K53" s="360">
        <f>'3.sz.m Önk  bev.'!L51</f>
        <v>0</v>
      </c>
      <c r="L53" s="283">
        <f>'3.sz.m Önk  bev.'!M51</f>
        <v>0</v>
      </c>
      <c r="M53" s="283">
        <f>'3.sz.m Önk  bev.'!N51</f>
        <v>200000</v>
      </c>
      <c r="N53" s="283">
        <f>'3.sz.m Önk  bev.'!O51</f>
        <v>200000</v>
      </c>
      <c r="O53" s="283">
        <f>'3.sz.m Önk  bev.'!P51</f>
        <v>200000</v>
      </c>
      <c r="P53" s="283">
        <f>'3.sz.m Önk  bev.'!Q51</f>
        <v>200000</v>
      </c>
      <c r="Q53" s="741"/>
      <c r="R53" s="360">
        <v>0</v>
      </c>
      <c r="S53" s="283"/>
      <c r="T53" s="283"/>
      <c r="U53" s="283"/>
      <c r="V53" s="283"/>
      <c r="W53" s="283"/>
      <c r="X53" s="360">
        <v>0</v>
      </c>
      <c r="Y53" s="360">
        <v>0</v>
      </c>
      <c r="Z53" s="360">
        <v>0</v>
      </c>
      <c r="AA53" s="360">
        <v>0</v>
      </c>
      <c r="AB53" s="360">
        <v>0</v>
      </c>
      <c r="AC53" s="360">
        <v>0</v>
      </c>
      <c r="AD53" s="360">
        <v>0</v>
      </c>
      <c r="AE53" s="1074"/>
    </row>
    <row r="54" spans="1:31" ht="21.75" customHeight="1" thickBot="1">
      <c r="A54" s="100" t="s">
        <v>13</v>
      </c>
      <c r="B54" s="1108" t="s">
        <v>327</v>
      </c>
      <c r="C54" s="1108"/>
      <c r="D54" s="1108"/>
      <c r="E54" s="347">
        <f aca="true" t="shared" si="20" ref="E54:N54">SUM(E55:E56)</f>
        <v>33000000</v>
      </c>
      <c r="F54" s="284">
        <f t="shared" si="20"/>
        <v>33000000</v>
      </c>
      <c r="G54" s="284">
        <f>SUM(G55:G56)</f>
        <v>33080000</v>
      </c>
      <c r="H54" s="284">
        <f>SUM(H55:H56)</f>
        <v>33080000</v>
      </c>
      <c r="I54" s="284">
        <f>SUM(I55:I56)</f>
        <v>33080000</v>
      </c>
      <c r="J54" s="284">
        <f>SUM(J55:J56)</f>
        <v>31687000</v>
      </c>
      <c r="K54" s="347">
        <f t="shared" si="20"/>
        <v>33000000</v>
      </c>
      <c r="L54" s="284">
        <f t="shared" si="20"/>
        <v>33000000</v>
      </c>
      <c r="M54" s="284">
        <f>SUM(M55:M56)</f>
        <v>33080000</v>
      </c>
      <c r="N54" s="284">
        <f t="shared" si="20"/>
        <v>33080000</v>
      </c>
      <c r="O54" s="284">
        <f>SUM(O55:O56)</f>
        <v>33080000</v>
      </c>
      <c r="P54" s="284">
        <f>SUM(P55:P56)</f>
        <v>31687000</v>
      </c>
      <c r="Q54" s="736">
        <f t="shared" si="4"/>
        <v>0.9578899637243047</v>
      </c>
      <c r="R54" s="347">
        <f aca="true" t="shared" si="21" ref="R54:W54">SUM(R55:R56)</f>
        <v>0</v>
      </c>
      <c r="S54" s="284">
        <f t="shared" si="21"/>
        <v>0</v>
      </c>
      <c r="T54" s="284">
        <f t="shared" si="21"/>
        <v>0</v>
      </c>
      <c r="U54" s="284">
        <f t="shared" si="21"/>
        <v>0</v>
      </c>
      <c r="V54" s="284">
        <f t="shared" si="21"/>
        <v>0</v>
      </c>
      <c r="W54" s="284">
        <f t="shared" si="21"/>
        <v>0</v>
      </c>
      <c r="X54" s="347">
        <f aca="true" t="shared" si="22" ref="X54:AD54">SUM(X55:X56)</f>
        <v>0</v>
      </c>
      <c r="Y54" s="347">
        <f t="shared" si="22"/>
        <v>0</v>
      </c>
      <c r="Z54" s="347">
        <f t="shared" si="22"/>
        <v>0</v>
      </c>
      <c r="AA54" s="347">
        <f t="shared" si="22"/>
        <v>0</v>
      </c>
      <c r="AB54" s="347">
        <f t="shared" si="22"/>
        <v>0</v>
      </c>
      <c r="AC54" s="347">
        <f t="shared" si="22"/>
        <v>0</v>
      </c>
      <c r="AD54" s="347">
        <f t="shared" si="22"/>
        <v>0</v>
      </c>
      <c r="AE54" s="1074"/>
    </row>
    <row r="55" spans="1:31" s="7" customFormat="1" ht="21.75" customHeight="1">
      <c r="A55" s="102"/>
      <c r="B55" s="95" t="s">
        <v>46</v>
      </c>
      <c r="C55" s="1122" t="s">
        <v>329</v>
      </c>
      <c r="D55" s="1122"/>
      <c r="E55" s="363">
        <f>'3.sz.m Önk  bev.'!E53</f>
        <v>33000000</v>
      </c>
      <c r="F55" s="285">
        <f>'3.sz.m Önk  bev.'!F53</f>
        <v>33000000</v>
      </c>
      <c r="G55" s="285">
        <f>'3.sz.m Önk  bev.'!G53</f>
        <v>33080000</v>
      </c>
      <c r="H55" s="285">
        <f>'3.sz.m Önk  bev.'!H53</f>
        <v>33080000</v>
      </c>
      <c r="I55" s="285">
        <f>'3.sz.m Önk  bev.'!I53</f>
        <v>33080000</v>
      </c>
      <c r="J55" s="285">
        <f>'3.sz.m Önk  bev.'!J53</f>
        <v>31687000</v>
      </c>
      <c r="K55" s="363">
        <f>'3.sz.m Önk  bev.'!L53</f>
        <v>33000000</v>
      </c>
      <c r="L55" s="285">
        <f>'3.sz.m Önk  bev.'!M53</f>
        <v>33000000</v>
      </c>
      <c r="M55" s="285">
        <f>'3.sz.m Önk  bev.'!N53</f>
        <v>33080000</v>
      </c>
      <c r="N55" s="285">
        <f>'3.sz.m Önk  bev.'!O53</f>
        <v>33080000</v>
      </c>
      <c r="O55" s="285">
        <f>'3.sz.m Önk  bev.'!P53</f>
        <v>33080000</v>
      </c>
      <c r="P55" s="285">
        <f>'3.sz.m Önk  bev.'!Q53</f>
        <v>31687000</v>
      </c>
      <c r="Q55" s="720">
        <f t="shared" si="4"/>
        <v>0.9578899637243047</v>
      </c>
      <c r="R55" s="363">
        <v>0</v>
      </c>
      <c r="S55" s="285"/>
      <c r="T55" s="285"/>
      <c r="U55" s="285"/>
      <c r="V55" s="285"/>
      <c r="W55" s="285"/>
      <c r="X55" s="363">
        <v>0</v>
      </c>
      <c r="Y55" s="363">
        <v>0</v>
      </c>
      <c r="Z55" s="363">
        <v>0</v>
      </c>
      <c r="AA55" s="363">
        <v>0</v>
      </c>
      <c r="AB55" s="363">
        <v>0</v>
      </c>
      <c r="AC55" s="363">
        <v>0</v>
      </c>
      <c r="AD55" s="363">
        <v>0</v>
      </c>
      <c r="AE55" s="1074"/>
    </row>
    <row r="56" spans="1:31" ht="21.75" customHeight="1" thickBot="1">
      <c r="A56" s="97"/>
      <c r="B56" s="98" t="s">
        <v>328</v>
      </c>
      <c r="C56" s="1113" t="s">
        <v>330</v>
      </c>
      <c r="D56" s="1113"/>
      <c r="E56" s="361">
        <v>0</v>
      </c>
      <c r="F56" s="362">
        <v>0</v>
      </c>
      <c r="G56" s="362">
        <v>0</v>
      </c>
      <c r="H56" s="362">
        <v>0</v>
      </c>
      <c r="I56" s="362">
        <v>0</v>
      </c>
      <c r="J56" s="362">
        <v>0</v>
      </c>
      <c r="K56" s="361">
        <v>0</v>
      </c>
      <c r="L56" s="362">
        <v>0</v>
      </c>
      <c r="M56" s="362">
        <v>0</v>
      </c>
      <c r="N56" s="362"/>
      <c r="O56" s="362"/>
      <c r="P56" s="362"/>
      <c r="Q56" s="744"/>
      <c r="R56" s="361">
        <v>0</v>
      </c>
      <c r="S56" s="362"/>
      <c r="T56" s="362"/>
      <c r="U56" s="362"/>
      <c r="V56" s="362"/>
      <c r="W56" s="362"/>
      <c r="X56" s="361">
        <v>0</v>
      </c>
      <c r="Y56" s="361">
        <v>0</v>
      </c>
      <c r="Z56" s="361">
        <v>0</v>
      </c>
      <c r="AA56" s="361">
        <v>0</v>
      </c>
      <c r="AB56" s="361">
        <v>0</v>
      </c>
      <c r="AC56" s="361">
        <v>0</v>
      </c>
      <c r="AD56" s="361">
        <v>0</v>
      </c>
      <c r="AE56" s="1074"/>
    </row>
    <row r="57" spans="1:31" ht="21.75" customHeight="1" thickBot="1">
      <c r="A57" s="100" t="s">
        <v>14</v>
      </c>
      <c r="B57" s="1123" t="s">
        <v>76</v>
      </c>
      <c r="C57" s="1123"/>
      <c r="D57" s="1123"/>
      <c r="E57" s="347">
        <f aca="true" t="shared" si="23" ref="E57:N57">E7+E21+E43+E51+E54+E34</f>
        <v>552641323</v>
      </c>
      <c r="F57" s="284">
        <f t="shared" si="23"/>
        <v>552706963</v>
      </c>
      <c r="G57" s="284">
        <f>G7+G21+G43+G51+G54+G34</f>
        <v>558201028</v>
      </c>
      <c r="H57" s="284">
        <f>H7+H21+H43+H51+H54+H34</f>
        <v>735531650</v>
      </c>
      <c r="I57" s="284">
        <f>I7+I21+I43+I51+I54+I34</f>
        <v>746122382</v>
      </c>
      <c r="J57" s="284">
        <f>J7+J21+J43+J51+J54+J34</f>
        <v>763625900</v>
      </c>
      <c r="K57" s="347">
        <f t="shared" si="23"/>
        <v>531695841</v>
      </c>
      <c r="L57" s="284">
        <f t="shared" si="23"/>
        <v>529770978</v>
      </c>
      <c r="M57" s="284">
        <f>M7+M21+M43+M51+M54+M34</f>
        <v>535312300</v>
      </c>
      <c r="N57" s="284">
        <f t="shared" si="23"/>
        <v>712642919</v>
      </c>
      <c r="O57" s="284">
        <f>O7+O21+O43+O51+O54+O34</f>
        <v>723163648</v>
      </c>
      <c r="P57" s="284">
        <f>P7+P21+P43+P51+P54+P34</f>
        <v>743475269</v>
      </c>
      <c r="Q57" s="742">
        <f t="shared" si="4"/>
        <v>1.0432647952824183</v>
      </c>
      <c r="R57" s="347">
        <f aca="true" t="shared" si="24" ref="R57:W57">R7+R21+R43+R51+R54+R34</f>
        <v>20945482</v>
      </c>
      <c r="S57" s="284">
        <f t="shared" si="24"/>
        <v>22935985</v>
      </c>
      <c r="T57" s="284">
        <f t="shared" si="24"/>
        <v>22780728</v>
      </c>
      <c r="U57" s="284">
        <f t="shared" si="24"/>
        <v>22780731</v>
      </c>
      <c r="V57" s="284">
        <f t="shared" si="24"/>
        <v>22850734</v>
      </c>
      <c r="W57" s="284">
        <f t="shared" si="24"/>
        <v>20150631</v>
      </c>
      <c r="X57" s="347">
        <f aca="true" t="shared" si="25" ref="X57:AD57">X7+X21+X43+X51+X54+X34</f>
        <v>5610894</v>
      </c>
      <c r="Y57" s="347">
        <f t="shared" si="25"/>
        <v>5610894</v>
      </c>
      <c r="Z57" s="347">
        <f t="shared" si="25"/>
        <v>5610894</v>
      </c>
      <c r="AA57" s="347">
        <f t="shared" si="25"/>
        <v>5610894</v>
      </c>
      <c r="AB57" s="347">
        <f t="shared" si="25"/>
        <v>5610894</v>
      </c>
      <c r="AC57" s="347">
        <f t="shared" si="25"/>
        <v>5610894</v>
      </c>
      <c r="AD57" s="347">
        <f t="shared" si="25"/>
        <v>5610894</v>
      </c>
      <c r="AE57" s="1074"/>
    </row>
    <row r="58" spans="1:31" ht="24" customHeight="1" thickBot="1">
      <c r="A58" s="96" t="s">
        <v>57</v>
      </c>
      <c r="B58" s="1108" t="s">
        <v>331</v>
      </c>
      <c r="C58" s="1108"/>
      <c r="D58" s="1108"/>
      <c r="E58" s="347">
        <f aca="true" t="shared" si="26" ref="E58:N58">SUM(E59:E61)</f>
        <v>146539860</v>
      </c>
      <c r="F58" s="284">
        <f t="shared" si="26"/>
        <v>146474220</v>
      </c>
      <c r="G58" s="284">
        <f>SUM(G59:G61)</f>
        <v>146474220</v>
      </c>
      <c r="H58" s="284">
        <f>SUM(H59:H61)</f>
        <v>146474220</v>
      </c>
      <c r="I58" s="284">
        <f>SUM(I59:I61)</f>
        <v>146474220</v>
      </c>
      <c r="J58" s="284">
        <f>SUM(J59:J61)</f>
        <v>156238600</v>
      </c>
      <c r="K58" s="347">
        <f t="shared" si="26"/>
        <v>146539860</v>
      </c>
      <c r="L58" s="284">
        <f t="shared" si="26"/>
        <v>146474220</v>
      </c>
      <c r="M58" s="284">
        <f>SUM(M59:M61)</f>
        <v>146474220</v>
      </c>
      <c r="N58" s="284">
        <f t="shared" si="26"/>
        <v>146474220</v>
      </c>
      <c r="O58" s="284">
        <f>SUM(O59:O61)</f>
        <v>146474220</v>
      </c>
      <c r="P58" s="284">
        <f>SUM(P59:P61)</f>
        <v>156238600</v>
      </c>
      <c r="Q58" s="742">
        <f t="shared" si="4"/>
        <v>1.0666627888511713</v>
      </c>
      <c r="R58" s="347">
        <f aca="true" t="shared" si="27" ref="R58:W58">SUM(R59:R61)</f>
        <v>0</v>
      </c>
      <c r="S58" s="284">
        <f t="shared" si="27"/>
        <v>0</v>
      </c>
      <c r="T58" s="284">
        <f t="shared" si="27"/>
        <v>0</v>
      </c>
      <c r="U58" s="284">
        <f t="shared" si="27"/>
        <v>0</v>
      </c>
      <c r="V58" s="284">
        <f t="shared" si="27"/>
        <v>0</v>
      </c>
      <c r="W58" s="284">
        <f t="shared" si="27"/>
        <v>0</v>
      </c>
      <c r="X58" s="347">
        <f aca="true" t="shared" si="28" ref="X58:AD58">SUM(X59:X61)</f>
        <v>0</v>
      </c>
      <c r="Y58" s="347">
        <f t="shared" si="28"/>
        <v>0</v>
      </c>
      <c r="Z58" s="347">
        <f t="shared" si="28"/>
        <v>0</v>
      </c>
      <c r="AA58" s="347">
        <f t="shared" si="28"/>
        <v>0</v>
      </c>
      <c r="AB58" s="347">
        <f t="shared" si="28"/>
        <v>0</v>
      </c>
      <c r="AC58" s="347">
        <f t="shared" si="28"/>
        <v>0</v>
      </c>
      <c r="AD58" s="347">
        <f t="shared" si="28"/>
        <v>0</v>
      </c>
      <c r="AE58" s="1074"/>
    </row>
    <row r="59" spans="1:31" ht="21.75" customHeight="1">
      <c r="A59" s="94"/>
      <c r="B59" s="95" t="s">
        <v>47</v>
      </c>
      <c r="C59" s="1122" t="s">
        <v>627</v>
      </c>
      <c r="D59" s="1122"/>
      <c r="E59" s="360">
        <f>'3.sz.m Önk  bev.'!E57</f>
        <v>0</v>
      </c>
      <c r="F59" s="283">
        <f>'3.sz.m Önk  bev.'!F57</f>
        <v>0</v>
      </c>
      <c r="G59" s="283">
        <f>'3.sz.m Önk  bev.'!G57</f>
        <v>0</v>
      </c>
      <c r="H59" s="283">
        <f>'3.sz.m Önk  bev.'!H57</f>
        <v>0</v>
      </c>
      <c r="I59" s="283">
        <f>'3.sz.m Önk  bev.'!I57</f>
        <v>0</v>
      </c>
      <c r="J59" s="283">
        <f>'3.sz.m Önk  bev.'!J57</f>
        <v>9764380</v>
      </c>
      <c r="K59" s="360">
        <f>'3.sz.m Önk  bev.'!L57</f>
        <v>0</v>
      </c>
      <c r="L59" s="283">
        <f>'3.sz.m Önk  bev.'!M57</f>
        <v>0</v>
      </c>
      <c r="M59" s="283">
        <f>'3.sz.m Önk  bev.'!N57</f>
        <v>0</v>
      </c>
      <c r="N59" s="283">
        <f>H59</f>
        <v>0</v>
      </c>
      <c r="O59" s="283">
        <f>I59</f>
        <v>0</v>
      </c>
      <c r="P59" s="283">
        <f>J59</f>
        <v>9764380</v>
      </c>
      <c r="Q59" s="743" t="e">
        <f t="shared" si="4"/>
        <v>#DIV/0!</v>
      </c>
      <c r="R59" s="360">
        <v>0</v>
      </c>
      <c r="S59" s="283"/>
      <c r="T59" s="283"/>
      <c r="U59" s="283"/>
      <c r="V59" s="283"/>
      <c r="W59" s="283"/>
      <c r="X59" s="360">
        <v>0</v>
      </c>
      <c r="Y59" s="360">
        <v>0</v>
      </c>
      <c r="Z59" s="360">
        <v>0</v>
      </c>
      <c r="AA59" s="360">
        <v>0</v>
      </c>
      <c r="AB59" s="360">
        <v>0</v>
      </c>
      <c r="AC59" s="360">
        <v>0</v>
      </c>
      <c r="AD59" s="360">
        <v>0</v>
      </c>
      <c r="AE59" s="1074"/>
    </row>
    <row r="60" spans="1:31" ht="21.75" customHeight="1">
      <c r="A60" s="93"/>
      <c r="B60" s="90" t="s">
        <v>48</v>
      </c>
      <c r="C60" s="1122" t="s">
        <v>558</v>
      </c>
      <c r="D60" s="1122"/>
      <c r="E60" s="360">
        <f>'3.sz.m Önk  bev.'!E58</f>
        <v>28770000</v>
      </c>
      <c r="F60" s="283">
        <f>'3.sz.m Önk  bev.'!F58</f>
        <v>28770000</v>
      </c>
      <c r="G60" s="283">
        <f>'3.sz.m Önk  bev.'!G58</f>
        <v>28770000</v>
      </c>
      <c r="H60" s="283">
        <f>'3.sz.m Önk  bev.'!H58</f>
        <v>28770000</v>
      </c>
      <c r="I60" s="283">
        <f>'3.sz.m Önk  bev.'!I58</f>
        <v>28770000</v>
      </c>
      <c r="J60" s="283">
        <f>'3.sz.m Önk  bev.'!J58</f>
        <v>28770000</v>
      </c>
      <c r="K60" s="360">
        <f>'3.sz.m Önk  bev.'!L58</f>
        <v>28770000</v>
      </c>
      <c r="L60" s="283">
        <f>'3.sz.m Önk  bev.'!M58</f>
        <v>28770000</v>
      </c>
      <c r="M60" s="283">
        <f>'3.sz.m Önk  bev.'!N58</f>
        <v>28770000</v>
      </c>
      <c r="N60" s="283">
        <f>'3.sz.m Önk  bev.'!O58</f>
        <v>28770000</v>
      </c>
      <c r="O60" s="283">
        <f>'3.sz.m Önk  bev.'!P58</f>
        <v>28770000</v>
      </c>
      <c r="P60" s="283">
        <f>'3.sz.m Önk  bev.'!Q58</f>
        <v>28770000</v>
      </c>
      <c r="Q60" s="745"/>
      <c r="R60" s="360">
        <v>0</v>
      </c>
      <c r="S60" s="283"/>
      <c r="T60" s="283"/>
      <c r="U60" s="283"/>
      <c r="V60" s="283"/>
      <c r="W60" s="283"/>
      <c r="X60" s="360">
        <v>0</v>
      </c>
      <c r="Y60" s="360">
        <v>0</v>
      </c>
      <c r="Z60" s="360">
        <v>0</v>
      </c>
      <c r="AA60" s="360">
        <v>0</v>
      </c>
      <c r="AB60" s="360">
        <v>0</v>
      </c>
      <c r="AC60" s="360">
        <v>0</v>
      </c>
      <c r="AD60" s="360">
        <v>0</v>
      </c>
      <c r="AE60" s="1074"/>
    </row>
    <row r="61" spans="1:31" ht="21.75" customHeight="1" thickBot="1">
      <c r="A61" s="93"/>
      <c r="B61" s="90" t="s">
        <v>75</v>
      </c>
      <c r="C61" s="1122" t="s">
        <v>332</v>
      </c>
      <c r="D61" s="1122"/>
      <c r="E61" s="360">
        <f>'3.sz.m Önk  bev.'!E59+'5.1 sz. m Köz Hiv'!D26+'5.2 sz. m ÁMK'!D29</f>
        <v>117769860</v>
      </c>
      <c r="F61" s="283">
        <f>'3.sz.m Önk  bev.'!F59+'5.1 sz. m Köz Hiv'!E26+'5.2 sz. m ÁMK'!E29</f>
        <v>117704220</v>
      </c>
      <c r="G61" s="283">
        <f>'3.sz.m Önk  bev.'!G59+'5.1 sz. m Köz Hiv'!F26+'5.2 sz. m ÁMK'!F29</f>
        <v>117704220</v>
      </c>
      <c r="H61" s="283">
        <f>'3.sz.m Önk  bev.'!H59+'5.1 sz. m Köz Hiv'!G26+'5.2 sz. m ÁMK'!G29</f>
        <v>117704220</v>
      </c>
      <c r="I61" s="283">
        <f>'3.sz.m Önk  bev.'!I59+'5.1 sz. m Köz Hiv'!H26+'5.2 sz. m ÁMK'!H29</f>
        <v>117704220</v>
      </c>
      <c r="J61" s="283">
        <f>'3.sz.m Önk  bev.'!J59+'5.1 sz. m Köz Hiv'!I26+'5.2 sz. m ÁMK'!I29</f>
        <v>117704220</v>
      </c>
      <c r="K61" s="360">
        <f>'3.sz.m Önk  bev.'!L59+'5.1 sz. m Köz Hiv'!L26+'5.2 sz. m ÁMK'!L29</f>
        <v>117769860</v>
      </c>
      <c r="L61" s="283">
        <f>'3.sz.m Önk  bev.'!M59+'5.1 sz. m Köz Hiv'!M26+'5.2 sz. m ÁMK'!M29</f>
        <v>117704220</v>
      </c>
      <c r="M61" s="283">
        <f>'3.sz.m Önk  bev.'!N59+'5.1 sz. m Köz Hiv'!N26+'5.2 sz. m ÁMK'!N29</f>
        <v>117704220</v>
      </c>
      <c r="N61" s="283">
        <f>'3.sz.m Önk  bev.'!O59+'5.1 sz. m Köz Hiv'!O26+'5.2 sz. m ÁMK'!O29</f>
        <v>117704220</v>
      </c>
      <c r="O61" s="283">
        <f>'3.sz.m Önk  bev.'!P59+'5.1 sz. m Köz Hiv'!P26+'5.2 sz. m ÁMK'!P29</f>
        <v>117704220</v>
      </c>
      <c r="P61" s="283">
        <f>'3.sz.m Önk  bev.'!Q59+'5.1 sz. m Köz Hiv'!Q26+'5.2 sz. m ÁMK'!Q29</f>
        <v>117704220</v>
      </c>
      <c r="Q61" s="745">
        <f>P61/N61</f>
        <v>1</v>
      </c>
      <c r="R61" s="360">
        <v>0</v>
      </c>
      <c r="S61" s="283"/>
      <c r="T61" s="283"/>
      <c r="U61" s="283"/>
      <c r="V61" s="283"/>
      <c r="W61" s="283"/>
      <c r="X61" s="360">
        <v>0</v>
      </c>
      <c r="Y61" s="360">
        <v>0</v>
      </c>
      <c r="Z61" s="360">
        <v>0</v>
      </c>
      <c r="AA61" s="360">
        <v>0</v>
      </c>
      <c r="AB61" s="360">
        <v>0</v>
      </c>
      <c r="AC61" s="360">
        <v>0</v>
      </c>
      <c r="AD61" s="360">
        <v>0</v>
      </c>
      <c r="AE61" s="1074"/>
    </row>
    <row r="62" spans="1:31" ht="35.25" customHeight="1" thickBot="1">
      <c r="A62" s="100" t="s">
        <v>58</v>
      </c>
      <c r="B62" s="1121" t="s">
        <v>77</v>
      </c>
      <c r="C62" s="1121"/>
      <c r="D62" s="1121"/>
      <c r="E62" s="349">
        <f aca="true" t="shared" si="29" ref="E62:N62">E57+E58</f>
        <v>699181183</v>
      </c>
      <c r="F62" s="64">
        <f t="shared" si="29"/>
        <v>699181183</v>
      </c>
      <c r="G62" s="64">
        <f>G57+G58</f>
        <v>704675248</v>
      </c>
      <c r="H62" s="64">
        <f>H57+H58</f>
        <v>882005870</v>
      </c>
      <c r="I62" s="64">
        <f>I57+I58</f>
        <v>892596602</v>
      </c>
      <c r="J62" s="64">
        <f>J57+J58</f>
        <v>919864500</v>
      </c>
      <c r="K62" s="349">
        <f t="shared" si="29"/>
        <v>678235701</v>
      </c>
      <c r="L62" s="64">
        <f t="shared" si="29"/>
        <v>676245198</v>
      </c>
      <c r="M62" s="64">
        <f>M57+M58</f>
        <v>681786520</v>
      </c>
      <c r="N62" s="64">
        <f t="shared" si="29"/>
        <v>859117139</v>
      </c>
      <c r="O62" s="64">
        <f>O57+O58</f>
        <v>869637868</v>
      </c>
      <c r="P62" s="64">
        <f>P57+P58</f>
        <v>899713869</v>
      </c>
      <c r="Q62" s="746">
        <f t="shared" si="4"/>
        <v>1.0472540101426147</v>
      </c>
      <c r="R62" s="349">
        <f aca="true" t="shared" si="30" ref="R62:W62">R57+R58</f>
        <v>20945482</v>
      </c>
      <c r="S62" s="64">
        <f t="shared" si="30"/>
        <v>22935985</v>
      </c>
      <c r="T62" s="64">
        <f t="shared" si="30"/>
        <v>22780728</v>
      </c>
      <c r="U62" s="64">
        <f t="shared" si="30"/>
        <v>22780731</v>
      </c>
      <c r="V62" s="64">
        <f t="shared" si="30"/>
        <v>22850734</v>
      </c>
      <c r="W62" s="64">
        <f t="shared" si="30"/>
        <v>20150631</v>
      </c>
      <c r="X62" s="349">
        <f aca="true" t="shared" si="31" ref="X62:AD62">X57+X58</f>
        <v>5610894</v>
      </c>
      <c r="Y62" s="349">
        <f t="shared" si="31"/>
        <v>5610894</v>
      </c>
      <c r="Z62" s="349">
        <f t="shared" si="31"/>
        <v>5610894</v>
      </c>
      <c r="AA62" s="349">
        <f t="shared" si="31"/>
        <v>5610894</v>
      </c>
      <c r="AB62" s="349">
        <f t="shared" si="31"/>
        <v>5610894</v>
      </c>
      <c r="AC62" s="349">
        <f t="shared" si="31"/>
        <v>5610894</v>
      </c>
      <c r="AD62" s="349">
        <f t="shared" si="31"/>
        <v>5610894</v>
      </c>
      <c r="AE62" s="1074"/>
    </row>
    <row r="63" spans="1:31" ht="21.75" customHeight="1" hidden="1" thickBot="1">
      <c r="A63" s="1129" t="s">
        <v>247</v>
      </c>
      <c r="B63" s="1130"/>
      <c r="C63" s="1130"/>
      <c r="D63" s="1130"/>
      <c r="E63" s="549"/>
      <c r="F63" s="550"/>
      <c r="G63" s="550"/>
      <c r="H63" s="550"/>
      <c r="I63" s="550"/>
      <c r="J63" s="550"/>
      <c r="K63" s="549"/>
      <c r="L63" s="550"/>
      <c r="M63" s="550"/>
      <c r="N63" s="550"/>
      <c r="O63" s="550"/>
      <c r="P63" s="550"/>
      <c r="Q63" s="555"/>
      <c r="R63" s="549"/>
      <c r="S63" s="550"/>
      <c r="T63" s="550"/>
      <c r="U63" s="550"/>
      <c r="V63" s="550"/>
      <c r="W63" s="550"/>
      <c r="X63" s="549"/>
      <c r="Y63" s="549"/>
      <c r="Z63" s="549"/>
      <c r="AA63" s="549"/>
      <c r="AB63" s="549"/>
      <c r="AC63" s="549"/>
      <c r="AD63" s="549"/>
      <c r="AE63" s="1074"/>
    </row>
    <row r="64" spans="1:31" ht="21.75" customHeight="1" thickBot="1">
      <c r="A64" s="1120" t="s">
        <v>7</v>
      </c>
      <c r="B64" s="1121"/>
      <c r="C64" s="1121"/>
      <c r="D64" s="1121"/>
      <c r="E64" s="397">
        <f aca="true" t="shared" si="32" ref="E64:N64">E62+E63</f>
        <v>699181183</v>
      </c>
      <c r="F64" s="398">
        <f t="shared" si="32"/>
        <v>699181183</v>
      </c>
      <c r="G64" s="398">
        <f>G62+G63</f>
        <v>704675248</v>
      </c>
      <c r="H64" s="398">
        <f>H62+H63</f>
        <v>882005870</v>
      </c>
      <c r="I64" s="398">
        <f>I62+I63</f>
        <v>892596602</v>
      </c>
      <c r="J64" s="398">
        <f>J62+J63</f>
        <v>919864500</v>
      </c>
      <c r="K64" s="397">
        <f t="shared" si="32"/>
        <v>678235701</v>
      </c>
      <c r="L64" s="398">
        <f t="shared" si="32"/>
        <v>676245198</v>
      </c>
      <c r="M64" s="398">
        <f>M62+M63</f>
        <v>681786520</v>
      </c>
      <c r="N64" s="1045">
        <f t="shared" si="32"/>
        <v>859117139</v>
      </c>
      <c r="O64" s="398">
        <f>O62+O63</f>
        <v>869637868</v>
      </c>
      <c r="P64" s="398">
        <f>P62+P63</f>
        <v>899713869</v>
      </c>
      <c r="Q64" s="400">
        <f t="shared" si="4"/>
        <v>1.0472540101426147</v>
      </c>
      <c r="R64" s="397">
        <f aca="true" t="shared" si="33" ref="R64:W64">R62+R63</f>
        <v>20945482</v>
      </c>
      <c r="S64" s="398">
        <f t="shared" si="33"/>
        <v>22935985</v>
      </c>
      <c r="T64" s="398">
        <f t="shared" si="33"/>
        <v>22780728</v>
      </c>
      <c r="U64" s="398">
        <f t="shared" si="33"/>
        <v>22780731</v>
      </c>
      <c r="V64" s="398">
        <f t="shared" si="33"/>
        <v>22850734</v>
      </c>
      <c r="W64" s="398">
        <f t="shared" si="33"/>
        <v>20150631</v>
      </c>
      <c r="X64" s="397">
        <f aca="true" t="shared" si="34" ref="X64:AD64">X62+X63</f>
        <v>5610894</v>
      </c>
      <c r="Y64" s="397">
        <f t="shared" si="34"/>
        <v>5610894</v>
      </c>
      <c r="Z64" s="397">
        <f t="shared" si="34"/>
        <v>5610894</v>
      </c>
      <c r="AA64" s="397">
        <f t="shared" si="34"/>
        <v>5610894</v>
      </c>
      <c r="AB64" s="397">
        <f t="shared" si="34"/>
        <v>5610894</v>
      </c>
      <c r="AC64" s="397">
        <f t="shared" si="34"/>
        <v>5610894</v>
      </c>
      <c r="AD64" s="397">
        <f t="shared" si="34"/>
        <v>5610894</v>
      </c>
      <c r="AE64" s="1074"/>
    </row>
    <row r="65" spans="1:23" ht="21.75" customHeight="1">
      <c r="A65" s="552"/>
      <c r="B65" s="553"/>
      <c r="C65" s="553"/>
      <c r="D65" s="553"/>
      <c r="E65" s="956" t="str">
        <f>IF(K64+R64=E64," ","HIBA-nincs egyenlőség")</f>
        <v> </v>
      </c>
      <c r="F65" s="554"/>
      <c r="G65" s="554"/>
      <c r="H65" s="554"/>
      <c r="I65" s="554"/>
      <c r="J65" s="554"/>
      <c r="K65" s="554"/>
      <c r="L65" s="554"/>
      <c r="M65" s="554"/>
      <c r="N65" s="554"/>
      <c r="O65" s="918"/>
      <c r="P65" s="554"/>
      <c r="Q65" s="554"/>
      <c r="R65" s="554"/>
      <c r="S65" s="554"/>
      <c r="T65" s="554"/>
      <c r="U65" s="554"/>
      <c r="V65" s="554"/>
      <c r="W65" s="554"/>
    </row>
    <row r="66" spans="1:21" ht="21.75" customHeight="1">
      <c r="A66" s="79"/>
      <c r="B66" s="126"/>
      <c r="C66" s="126"/>
      <c r="D66" s="126"/>
      <c r="E66" s="316"/>
      <c r="F66" s="317"/>
      <c r="G66" s="316"/>
      <c r="H66" s="316"/>
      <c r="I66" s="316"/>
      <c r="J66" s="316"/>
      <c r="K66" s="317"/>
      <c r="S66" s="317"/>
      <c r="T66" s="317"/>
      <c r="U66" s="317"/>
    </row>
    <row r="67" spans="1:21" ht="35.25" customHeight="1">
      <c r="A67" s="79"/>
      <c r="B67" s="126"/>
      <c r="C67" s="126"/>
      <c r="D67" s="126"/>
      <c r="E67" s="317"/>
      <c r="F67" s="317"/>
      <c r="G67" s="317"/>
      <c r="H67" s="317"/>
      <c r="I67" s="316"/>
      <c r="J67" s="317"/>
      <c r="K67" s="317"/>
      <c r="L67" s="317"/>
      <c r="M67" s="317"/>
      <c r="N67" s="317"/>
      <c r="O67" s="317"/>
      <c r="P67" s="317"/>
      <c r="Q67" s="317"/>
      <c r="S67" s="317"/>
      <c r="T67" s="317"/>
      <c r="U67" s="317"/>
    </row>
    <row r="68" spans="1:21" ht="35.25" customHeight="1">
      <c r="A68" s="79"/>
      <c r="B68" s="126"/>
      <c r="C68" s="126"/>
      <c r="D68" s="126"/>
      <c r="E68" s="317"/>
      <c r="F68" s="317"/>
      <c r="G68" s="317"/>
      <c r="H68" s="317"/>
      <c r="I68" s="316"/>
      <c r="J68" s="317"/>
      <c r="K68" s="317"/>
      <c r="L68" s="317"/>
      <c r="M68" s="317"/>
      <c r="N68" s="317"/>
      <c r="O68" s="317"/>
      <c r="P68" s="317"/>
      <c r="Q68" s="317"/>
      <c r="S68" s="317"/>
      <c r="T68" s="317"/>
      <c r="U68" s="317"/>
    </row>
    <row r="69" spans="5:21" ht="12.75"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S69" s="317"/>
      <c r="T69" s="317"/>
      <c r="U69" s="317"/>
    </row>
    <row r="70" spans="5:21" ht="12.75"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S70" s="317"/>
      <c r="T70" s="317"/>
      <c r="U70" s="317"/>
    </row>
    <row r="71" spans="5:21" ht="12.75"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S71" s="317"/>
      <c r="T71" s="317"/>
      <c r="U71" s="317"/>
    </row>
    <row r="72" spans="4:21" ht="12.75">
      <c r="D72" s="8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S72" s="317"/>
      <c r="T72" s="317"/>
      <c r="U72" s="317"/>
    </row>
    <row r="73" spans="4:21" ht="48.75" customHeight="1">
      <c r="D73" s="8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S73" s="317"/>
      <c r="T73" s="317"/>
      <c r="U73" s="317"/>
    </row>
    <row r="74" spans="4:21" ht="46.5" customHeight="1">
      <c r="D74" s="87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7"/>
      <c r="P74" s="317"/>
      <c r="Q74" s="317"/>
      <c r="S74" s="317"/>
      <c r="T74" s="317"/>
      <c r="U74" s="317"/>
    </row>
    <row r="75" spans="5:21" ht="41.25" customHeight="1"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S75" s="317"/>
      <c r="T75" s="317"/>
      <c r="U75" s="317"/>
    </row>
    <row r="76" spans="5:21" ht="12.75"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  <c r="S76" s="317"/>
      <c r="T76" s="317"/>
      <c r="U76" s="317"/>
    </row>
    <row r="77" spans="5:21" ht="12.75"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7"/>
      <c r="S77" s="317"/>
      <c r="T77" s="317"/>
      <c r="U77" s="317"/>
    </row>
    <row r="78" spans="5:21" ht="12.75"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  <c r="S78" s="317"/>
      <c r="T78" s="317"/>
      <c r="U78" s="317"/>
    </row>
    <row r="79" spans="5:21" ht="12.75"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S79" s="317"/>
      <c r="T79" s="317"/>
      <c r="U79" s="317"/>
    </row>
    <row r="80" spans="5:21" ht="12.75"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S80" s="317"/>
      <c r="T80" s="317"/>
      <c r="U80" s="317"/>
    </row>
    <row r="81" spans="5:21" ht="12.75"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S81" s="317"/>
      <c r="T81" s="317"/>
      <c r="U81" s="317"/>
    </row>
    <row r="82" spans="5:21" ht="12.75"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S82" s="317"/>
      <c r="T82" s="317"/>
      <c r="U82" s="317"/>
    </row>
    <row r="83" spans="5:21" ht="12.75"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S83" s="317"/>
      <c r="T83" s="317"/>
      <c r="U83" s="317"/>
    </row>
    <row r="84" spans="5:21" ht="12.75"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S84" s="317"/>
      <c r="T84" s="317"/>
      <c r="U84" s="317"/>
    </row>
    <row r="85" spans="5:21" ht="12.75"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S85" s="317"/>
      <c r="T85" s="317"/>
      <c r="U85" s="317"/>
    </row>
    <row r="86" spans="5:21" ht="12.75"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S86" s="317"/>
      <c r="T86" s="317"/>
      <c r="U86" s="317"/>
    </row>
    <row r="87" spans="5:21" ht="12.75"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7"/>
      <c r="P87" s="317"/>
      <c r="Q87" s="317"/>
      <c r="S87" s="317"/>
      <c r="T87" s="317"/>
      <c r="U87" s="317"/>
    </row>
    <row r="88" spans="5:21" ht="12.75"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7"/>
      <c r="P88" s="317"/>
      <c r="Q88" s="317"/>
      <c r="S88" s="317"/>
      <c r="T88" s="317"/>
      <c r="U88" s="317"/>
    </row>
    <row r="89" spans="5:21" ht="12.75"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S89" s="317"/>
      <c r="T89" s="317"/>
      <c r="U89" s="317"/>
    </row>
    <row r="90" spans="5:21" ht="12.75"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S90" s="317"/>
      <c r="T90" s="317"/>
      <c r="U90" s="317"/>
    </row>
    <row r="91" spans="5:21" ht="12.75"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S91" s="317"/>
      <c r="T91" s="317"/>
      <c r="U91" s="317"/>
    </row>
    <row r="92" spans="5:21" ht="12.75"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317"/>
      <c r="P92" s="317"/>
      <c r="Q92" s="317"/>
      <c r="S92" s="317"/>
      <c r="T92" s="317"/>
      <c r="U92" s="317"/>
    </row>
    <row r="93" spans="5:21" ht="12.75"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S93" s="317"/>
      <c r="T93" s="317"/>
      <c r="U93" s="317"/>
    </row>
    <row r="94" spans="5:21" ht="12.75"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S94" s="317"/>
      <c r="T94" s="317"/>
      <c r="U94" s="317"/>
    </row>
    <row r="95" spans="5:21" ht="12.75"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7"/>
      <c r="P95" s="317"/>
      <c r="Q95" s="317"/>
      <c r="S95" s="317"/>
      <c r="T95" s="317"/>
      <c r="U95" s="317"/>
    </row>
    <row r="96" spans="5:21" ht="12.75"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S96" s="317"/>
      <c r="T96" s="317"/>
      <c r="U96" s="317"/>
    </row>
    <row r="97" spans="5:21" ht="12.75"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317"/>
      <c r="S97" s="317"/>
      <c r="T97" s="317"/>
      <c r="U97" s="317"/>
    </row>
    <row r="98" spans="5:21" ht="12.75"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317"/>
      <c r="S98" s="317"/>
      <c r="T98" s="317"/>
      <c r="U98" s="317"/>
    </row>
    <row r="99" spans="5:21" ht="12.75"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7"/>
      <c r="P99" s="317"/>
      <c r="Q99" s="317"/>
      <c r="S99" s="317"/>
      <c r="T99" s="317"/>
      <c r="U99" s="317"/>
    </row>
    <row r="100" spans="5:21" ht="12.75"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7"/>
      <c r="P100" s="317"/>
      <c r="Q100" s="317"/>
      <c r="S100" s="317"/>
      <c r="T100" s="317"/>
      <c r="U100" s="317"/>
    </row>
    <row r="101" spans="5:21" ht="12.75"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S101" s="317"/>
      <c r="T101" s="317"/>
      <c r="U101" s="317"/>
    </row>
    <row r="102" spans="5:21" ht="12.75"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317"/>
      <c r="S102" s="317"/>
      <c r="T102" s="317"/>
      <c r="U102" s="317"/>
    </row>
    <row r="103" spans="5:21" ht="12.75"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S103" s="317"/>
      <c r="T103" s="317"/>
      <c r="U103" s="317"/>
    </row>
    <row r="104" spans="5:21" ht="12.75"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7"/>
      <c r="P104" s="317"/>
      <c r="Q104" s="317"/>
      <c r="S104" s="317"/>
      <c r="T104" s="317"/>
      <c r="U104" s="317"/>
    </row>
    <row r="105" spans="5:21" ht="12.75"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S105" s="317"/>
      <c r="T105" s="317"/>
      <c r="U105" s="317"/>
    </row>
    <row r="106" spans="5:21" ht="12.75"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7"/>
      <c r="P106" s="317"/>
      <c r="Q106" s="317"/>
      <c r="S106" s="317"/>
      <c r="T106" s="317"/>
      <c r="U106" s="317"/>
    </row>
    <row r="107" spans="5:21" ht="12.75">
      <c r="E107" s="317"/>
      <c r="F107" s="317"/>
      <c r="G107" s="317"/>
      <c r="H107" s="317"/>
      <c r="I107" s="317"/>
      <c r="J107" s="317"/>
      <c r="K107" s="317"/>
      <c r="L107" s="317"/>
      <c r="M107" s="317"/>
      <c r="N107" s="317"/>
      <c r="O107" s="317"/>
      <c r="P107" s="317"/>
      <c r="Q107" s="317"/>
      <c r="S107" s="317"/>
      <c r="T107" s="317"/>
      <c r="U107" s="317"/>
    </row>
    <row r="108" spans="5:21" ht="12.75">
      <c r="E108" s="317"/>
      <c r="F108" s="317"/>
      <c r="G108" s="317"/>
      <c r="H108" s="317"/>
      <c r="I108" s="317"/>
      <c r="J108" s="317"/>
      <c r="K108" s="317"/>
      <c r="L108" s="317"/>
      <c r="M108" s="317"/>
      <c r="N108" s="317"/>
      <c r="O108" s="317"/>
      <c r="P108" s="317"/>
      <c r="Q108" s="317"/>
      <c r="S108" s="317"/>
      <c r="T108" s="317"/>
      <c r="U108" s="317"/>
    </row>
    <row r="109" spans="5:21" ht="12.75">
      <c r="E109" s="317"/>
      <c r="F109" s="317"/>
      <c r="G109" s="317"/>
      <c r="H109" s="317"/>
      <c r="I109" s="317"/>
      <c r="J109" s="317"/>
      <c r="K109" s="317"/>
      <c r="L109" s="317"/>
      <c r="M109" s="317"/>
      <c r="N109" s="317"/>
      <c r="O109" s="317"/>
      <c r="P109" s="317"/>
      <c r="Q109" s="317"/>
      <c r="S109" s="317"/>
      <c r="T109" s="317"/>
      <c r="U109" s="317"/>
    </row>
    <row r="110" spans="5:21" ht="12.75">
      <c r="E110" s="317"/>
      <c r="F110" s="317"/>
      <c r="G110" s="317"/>
      <c r="H110" s="317"/>
      <c r="I110" s="317"/>
      <c r="J110" s="317"/>
      <c r="K110" s="317"/>
      <c r="L110" s="317"/>
      <c r="M110" s="317"/>
      <c r="N110" s="317"/>
      <c r="O110" s="317"/>
      <c r="P110" s="317"/>
      <c r="Q110" s="317"/>
      <c r="S110" s="317"/>
      <c r="T110" s="317"/>
      <c r="U110" s="317"/>
    </row>
    <row r="111" spans="5:21" ht="12.75"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7"/>
      <c r="P111" s="317"/>
      <c r="Q111" s="317"/>
      <c r="S111" s="317"/>
      <c r="T111" s="317"/>
      <c r="U111" s="317"/>
    </row>
    <row r="112" spans="5:21" ht="12.75"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317"/>
      <c r="P112" s="317"/>
      <c r="Q112" s="317"/>
      <c r="S112" s="317"/>
      <c r="T112" s="317"/>
      <c r="U112" s="317"/>
    </row>
    <row r="113" spans="5:21" ht="12.75">
      <c r="E113" s="317"/>
      <c r="F113" s="317"/>
      <c r="G113" s="317"/>
      <c r="H113" s="317"/>
      <c r="I113" s="317"/>
      <c r="J113" s="317"/>
      <c r="K113" s="317"/>
      <c r="L113" s="317"/>
      <c r="M113" s="317"/>
      <c r="N113" s="317"/>
      <c r="O113" s="317"/>
      <c r="P113" s="317"/>
      <c r="Q113" s="317"/>
      <c r="S113" s="317"/>
      <c r="T113" s="317"/>
      <c r="U113" s="317"/>
    </row>
  </sheetData>
  <sheetProtection/>
  <mergeCells count="49">
    <mergeCell ref="C37:D37"/>
    <mergeCell ref="C35:D35"/>
    <mergeCell ref="C33:D33"/>
    <mergeCell ref="A63:D63"/>
    <mergeCell ref="C50:D50"/>
    <mergeCell ref="B58:D58"/>
    <mergeCell ref="B34:D34"/>
    <mergeCell ref="B43:D43"/>
    <mergeCell ref="X4:AD4"/>
    <mergeCell ref="B54:D54"/>
    <mergeCell ref="C55:D55"/>
    <mergeCell ref="C56:D56"/>
    <mergeCell ref="C30:D30"/>
    <mergeCell ref="C53:D53"/>
    <mergeCell ref="C36:D36"/>
    <mergeCell ref="B51:D51"/>
    <mergeCell ref="C39:D39"/>
    <mergeCell ref="C44:D44"/>
    <mergeCell ref="O1:AB1"/>
    <mergeCell ref="C31:D31"/>
    <mergeCell ref="C49:D49"/>
    <mergeCell ref="C45:D45"/>
    <mergeCell ref="C38:D38"/>
    <mergeCell ref="B21:D21"/>
    <mergeCell ref="C22:D22"/>
    <mergeCell ref="C23:D23"/>
    <mergeCell ref="C8:D8"/>
    <mergeCell ref="C29:D29"/>
    <mergeCell ref="A64:D64"/>
    <mergeCell ref="B62:D62"/>
    <mergeCell ref="C61:D61"/>
    <mergeCell ref="C52:D52"/>
    <mergeCell ref="B57:D57"/>
    <mergeCell ref="C60:D60"/>
    <mergeCell ref="C59:D59"/>
    <mergeCell ref="C13:D13"/>
    <mergeCell ref="C32:D32"/>
    <mergeCell ref="C16:D16"/>
    <mergeCell ref="R4:W4"/>
    <mergeCell ref="C25:D25"/>
    <mergeCell ref="C17:D17"/>
    <mergeCell ref="C20:D20"/>
    <mergeCell ref="C24:D24"/>
    <mergeCell ref="A2:R2"/>
    <mergeCell ref="A4:C4"/>
    <mergeCell ref="B6:D6"/>
    <mergeCell ref="B7:D7"/>
    <mergeCell ref="E4:J4"/>
    <mergeCell ref="K4:Q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33" r:id="rId1"/>
  <colBreaks count="1" manualBreakCount="1">
    <brk id="22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D2" sqref="D2"/>
    </sheetView>
  </sheetViews>
  <sheetFormatPr defaultColWidth="9.140625" defaultRowHeight="12.75"/>
  <cols>
    <col min="1" max="1" width="6.57421875" style="9" customWidth="1"/>
    <col min="2" max="2" width="26.7109375" style="18" customWidth="1"/>
    <col min="3" max="3" width="28.28125" style="18" customWidth="1"/>
    <col min="4" max="4" width="5.00390625" style="9" customWidth="1"/>
    <col min="5" max="5" width="14.57421875" style="9" customWidth="1"/>
    <col min="6" max="6" width="14.57421875" style="9" hidden="1" customWidth="1"/>
    <col min="7" max="7" width="12.8515625" style="9" hidden="1" customWidth="1"/>
    <col min="8" max="8" width="13.57421875" style="9" hidden="1" customWidth="1"/>
    <col min="9" max="9" width="12.57421875" style="9" hidden="1" customWidth="1"/>
    <col min="10" max="10" width="13.8515625" style="9" customWidth="1"/>
    <col min="11" max="11" width="14.7109375" style="9" customWidth="1"/>
    <col min="12" max="16384" width="9.140625" style="9" customWidth="1"/>
  </cols>
  <sheetData>
    <row r="1" spans="2:9" ht="12.75">
      <c r="B1" s="39"/>
      <c r="D1" s="1236" t="s">
        <v>634</v>
      </c>
      <c r="E1" s="1236"/>
      <c r="F1" s="1236"/>
      <c r="G1" s="1236"/>
      <c r="H1" s="1236"/>
      <c r="I1" s="1236"/>
    </row>
    <row r="2" ht="12.75">
      <c r="B2" s="39"/>
    </row>
    <row r="3" spans="1:6" ht="18">
      <c r="A3" s="1234" t="s">
        <v>56</v>
      </c>
      <c r="B3" s="1234"/>
      <c r="C3" s="1234"/>
      <c r="D3" s="1234"/>
      <c r="E3" s="1234"/>
      <c r="F3" s="17"/>
    </row>
    <row r="4" spans="1:6" ht="18">
      <c r="A4" s="1234" t="s">
        <v>563</v>
      </c>
      <c r="B4" s="1234"/>
      <c r="C4" s="1234"/>
      <c r="D4" s="1234"/>
      <c r="E4" s="1234"/>
      <c r="F4" s="17"/>
    </row>
    <row r="5" spans="1:6" ht="18">
      <c r="A5" s="17"/>
      <c r="B5" s="29"/>
      <c r="C5" s="29"/>
      <c r="D5" s="17"/>
      <c r="E5" s="17"/>
      <c r="F5" s="17"/>
    </row>
    <row r="6" spans="1:6" ht="15.75">
      <c r="A6" s="1235" t="s">
        <v>522</v>
      </c>
      <c r="B6" s="1235"/>
      <c r="C6" s="1235"/>
      <c r="D6" s="1235"/>
      <c r="E6" s="1235"/>
      <c r="F6" s="10"/>
    </row>
    <row r="7" spans="1:10" ht="16.5" customHeight="1" thickBot="1">
      <c r="A7" s="11"/>
      <c r="B7" s="40"/>
      <c r="C7" s="1237" t="s">
        <v>503</v>
      </c>
      <c r="D7" s="1237"/>
      <c r="E7" s="1237"/>
      <c r="F7" s="1237"/>
      <c r="G7" s="1237"/>
      <c r="H7" s="1237"/>
      <c r="I7" s="1237"/>
      <c r="J7" s="1237"/>
    </row>
    <row r="8" spans="1:11" ht="45.75" customHeight="1" thickBot="1">
      <c r="A8" s="21" t="s">
        <v>19</v>
      </c>
      <c r="B8" s="30" t="s">
        <v>17</v>
      </c>
      <c r="C8" s="30" t="s">
        <v>18</v>
      </c>
      <c r="D8" s="767" t="s">
        <v>30</v>
      </c>
      <c r="E8" s="773" t="s">
        <v>206</v>
      </c>
      <c r="F8" s="30" t="s">
        <v>229</v>
      </c>
      <c r="G8" s="30" t="s">
        <v>232</v>
      </c>
      <c r="H8" s="30" t="s">
        <v>234</v>
      </c>
      <c r="I8" s="30" t="s">
        <v>248</v>
      </c>
      <c r="J8" s="30" t="s">
        <v>253</v>
      </c>
      <c r="K8" s="623"/>
    </row>
    <row r="9" spans="1:10" s="16" customFormat="1" ht="30" customHeight="1">
      <c r="A9" s="26">
        <v>1</v>
      </c>
      <c r="B9" s="31" t="s">
        <v>341</v>
      </c>
      <c r="C9" s="31" t="s">
        <v>342</v>
      </c>
      <c r="D9" s="768" t="s">
        <v>15</v>
      </c>
      <c r="E9" s="774">
        <v>889000</v>
      </c>
      <c r="F9" s="774">
        <v>889000</v>
      </c>
      <c r="G9" s="774">
        <v>889000</v>
      </c>
      <c r="H9" s="774">
        <v>889000</v>
      </c>
      <c r="I9" s="774">
        <v>889000</v>
      </c>
      <c r="J9" s="774">
        <f>7560+28000</f>
        <v>35560</v>
      </c>
    </row>
    <row r="10" spans="1:10" s="16" customFormat="1" ht="30" customHeight="1" hidden="1" thickBot="1">
      <c r="A10" s="873">
        <v>2</v>
      </c>
      <c r="B10" s="31" t="s">
        <v>341</v>
      </c>
      <c r="C10" s="874" t="s">
        <v>509</v>
      </c>
      <c r="D10" s="875" t="s">
        <v>15</v>
      </c>
      <c r="E10" s="876"/>
      <c r="F10" s="876"/>
      <c r="G10" s="876"/>
      <c r="H10" s="876"/>
      <c r="I10" s="876"/>
      <c r="J10" s="876"/>
    </row>
    <row r="11" spans="1:10" s="16" customFormat="1" ht="30" customHeight="1" hidden="1">
      <c r="A11" s="873">
        <v>3</v>
      </c>
      <c r="B11" s="31" t="s">
        <v>341</v>
      </c>
      <c r="C11" s="874" t="s">
        <v>485</v>
      </c>
      <c r="D11" s="875" t="s">
        <v>15</v>
      </c>
      <c r="E11" s="876"/>
      <c r="F11" s="876"/>
      <c r="G11" s="876"/>
      <c r="H11" s="876"/>
      <c r="I11" s="876"/>
      <c r="J11" s="876"/>
    </row>
    <row r="12" spans="1:14" ht="30" customHeight="1">
      <c r="A12" s="34">
        <v>2</v>
      </c>
      <c r="B12" s="41" t="s">
        <v>215</v>
      </c>
      <c r="C12" s="35" t="s">
        <v>564</v>
      </c>
      <c r="D12" s="769" t="s">
        <v>15</v>
      </c>
      <c r="E12" s="775"/>
      <c r="F12" s="775">
        <v>14999</v>
      </c>
      <c r="G12" s="775">
        <v>14999</v>
      </c>
      <c r="H12" s="775">
        <v>14999</v>
      </c>
      <c r="I12" s="1066">
        <v>14999</v>
      </c>
      <c r="J12" s="775">
        <v>14999</v>
      </c>
      <c r="K12" s="623"/>
      <c r="N12" s="623"/>
    </row>
    <row r="13" spans="1:10" ht="30" customHeight="1">
      <c r="A13" s="34">
        <v>3</v>
      </c>
      <c r="B13" s="41" t="s">
        <v>215</v>
      </c>
      <c r="C13" s="58" t="s">
        <v>579</v>
      </c>
      <c r="D13" s="769" t="s">
        <v>15</v>
      </c>
      <c r="E13" s="775"/>
      <c r="F13" s="775"/>
      <c r="G13" s="775">
        <f>3500+945</f>
        <v>4445</v>
      </c>
      <c r="H13" s="775">
        <f>3500+945</f>
        <v>4445</v>
      </c>
      <c r="I13" s="1066">
        <f>3500+945</f>
        <v>4445</v>
      </c>
      <c r="J13" s="775">
        <f>3500+945</f>
        <v>4445</v>
      </c>
    </row>
    <row r="14" spans="1:10" ht="30" customHeight="1">
      <c r="A14" s="36">
        <v>4</v>
      </c>
      <c r="B14" s="41" t="s">
        <v>215</v>
      </c>
      <c r="C14" s="58" t="s">
        <v>599</v>
      </c>
      <c r="D14" s="770" t="s">
        <v>15</v>
      </c>
      <c r="E14" s="776"/>
      <c r="F14" s="776"/>
      <c r="G14" s="776"/>
      <c r="H14" s="776"/>
      <c r="I14" s="776"/>
      <c r="J14" s="776">
        <v>60000</v>
      </c>
    </row>
    <row r="15" spans="1:10" ht="30" customHeight="1">
      <c r="A15" s="34">
        <v>6</v>
      </c>
      <c r="B15" s="41" t="s">
        <v>215</v>
      </c>
      <c r="C15" s="58" t="s">
        <v>600</v>
      </c>
      <c r="D15" s="770" t="s">
        <v>15</v>
      </c>
      <c r="E15" s="776"/>
      <c r="F15" s="776"/>
      <c r="G15" s="776"/>
      <c r="H15" s="776"/>
      <c r="I15" s="776"/>
      <c r="J15" s="776">
        <f>76219+20579</f>
        <v>96798</v>
      </c>
    </row>
    <row r="16" spans="1:10" ht="30" customHeight="1" thickBot="1">
      <c r="A16" s="36">
        <v>6</v>
      </c>
      <c r="B16" s="41" t="s">
        <v>215</v>
      </c>
      <c r="C16" s="58" t="s">
        <v>601</v>
      </c>
      <c r="D16" s="771" t="s">
        <v>15</v>
      </c>
      <c r="E16" s="777"/>
      <c r="F16" s="777"/>
      <c r="G16" s="777"/>
      <c r="H16" s="777"/>
      <c r="I16" s="777"/>
      <c r="J16" s="777">
        <f>7224+26755</f>
        <v>33979</v>
      </c>
    </row>
    <row r="17" spans="1:11" ht="36.75" customHeight="1" thickBot="1">
      <c r="A17" s="34">
        <v>7</v>
      </c>
      <c r="B17" s="31" t="s">
        <v>341</v>
      </c>
      <c r="C17" s="58" t="s">
        <v>602</v>
      </c>
      <c r="D17" s="771" t="s">
        <v>15</v>
      </c>
      <c r="E17" s="777"/>
      <c r="F17" s="777"/>
      <c r="G17" s="777"/>
      <c r="H17" s="777"/>
      <c r="I17" s="777"/>
      <c r="J17" s="777">
        <f>82401-32834+28110+22249+7590-8866</f>
        <v>98650</v>
      </c>
      <c r="K17" s="623"/>
    </row>
    <row r="18" spans="1:11" ht="36.75" customHeight="1" thickBot="1">
      <c r="A18" s="59">
        <v>8</v>
      </c>
      <c r="B18" s="31" t="s">
        <v>341</v>
      </c>
      <c r="C18" s="58" t="s">
        <v>603</v>
      </c>
      <c r="D18" s="771" t="s">
        <v>15</v>
      </c>
      <c r="E18" s="777"/>
      <c r="F18" s="777"/>
      <c r="G18" s="777"/>
      <c r="H18" s="777"/>
      <c r="I18" s="777"/>
      <c r="J18" s="777">
        <f>19558+72439</f>
        <v>91997</v>
      </c>
      <c r="K18" s="623"/>
    </row>
    <row r="19" spans="1:10" ht="36.75" customHeight="1" hidden="1" thickBot="1">
      <c r="A19" s="59"/>
      <c r="B19" s="58"/>
      <c r="C19" s="58"/>
      <c r="D19" s="771" t="s">
        <v>16</v>
      </c>
      <c r="E19" s="777"/>
      <c r="F19" s="777"/>
      <c r="G19" s="777"/>
      <c r="H19" s="777"/>
      <c r="I19" s="777"/>
      <c r="J19" s="777"/>
    </row>
    <row r="20" spans="1:10" s="33" customFormat="1" ht="30" customHeight="1" thickBot="1">
      <c r="A20" s="1232" t="s">
        <v>1</v>
      </c>
      <c r="B20" s="1233"/>
      <c r="C20" s="32"/>
      <c r="D20" s="772"/>
      <c r="E20" s="778">
        <f aca="true" t="shared" si="0" ref="E20:J20">SUM(E9:E19)</f>
        <v>889000</v>
      </c>
      <c r="F20" s="778">
        <f t="shared" si="0"/>
        <v>903999</v>
      </c>
      <c r="G20" s="778">
        <f t="shared" si="0"/>
        <v>908444</v>
      </c>
      <c r="H20" s="778">
        <f t="shared" si="0"/>
        <v>908444</v>
      </c>
      <c r="I20" s="778">
        <f t="shared" si="0"/>
        <v>908444</v>
      </c>
      <c r="J20" s="778">
        <f t="shared" si="0"/>
        <v>436428</v>
      </c>
    </row>
    <row r="22" spans="5:6" ht="12.75">
      <c r="E22" s="977" t="str">
        <f>IF(E20='5.2 sz. m ÁMK'!D44+'5.2 sz. m ÁMK'!D46+'5.1 sz. m Köz Hiv'!D41+'5.1 sz. m Köz Hiv'!D42," ","HIBA - nem egyenlő")</f>
        <v> </v>
      </c>
      <c r="F22" s="977" t="str">
        <f>IF(F20='5.2 sz. m ÁMK'!E44+'5.2 sz. m ÁMK'!E46+'5.1 sz. m Köz Hiv'!E41+'5.1 sz. m Köz Hiv'!E42," ","HIBA - nem egyenlő")</f>
        <v> </v>
      </c>
    </row>
  </sheetData>
  <sheetProtection/>
  <mergeCells count="6">
    <mergeCell ref="A20:B20"/>
    <mergeCell ref="A3:E3"/>
    <mergeCell ref="A4:E4"/>
    <mergeCell ref="A6:E6"/>
    <mergeCell ref="D1:I1"/>
    <mergeCell ref="C7:J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workbookViewId="0" topLeftCell="A1">
      <selection activeCell="A2" sqref="A2:R2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34.7109375" style="9" customWidth="1"/>
    <col min="4" max="4" width="14.28125" style="622" customWidth="1"/>
    <col min="5" max="5" width="12.7109375" style="622" hidden="1" customWidth="1"/>
    <col min="6" max="6" width="13.28125" style="622" hidden="1" customWidth="1"/>
    <col min="7" max="7" width="13.00390625" style="622" hidden="1" customWidth="1"/>
    <col min="8" max="8" width="16.140625" style="622" hidden="1" customWidth="1"/>
    <col min="9" max="9" width="15.57421875" style="622" customWidth="1"/>
    <col min="10" max="10" width="9.7109375" style="622" hidden="1" customWidth="1"/>
    <col min="11" max="11" width="14.140625" style="623" customWidth="1"/>
    <col min="12" max="12" width="12.7109375" style="623" hidden="1" customWidth="1"/>
    <col min="13" max="13" width="13.57421875" style="623" hidden="1" customWidth="1"/>
    <col min="14" max="14" width="12.8515625" style="623" hidden="1" customWidth="1"/>
    <col min="15" max="15" width="12.7109375" style="623" hidden="1" customWidth="1"/>
    <col min="16" max="16" width="13.7109375" style="623" customWidth="1"/>
    <col min="17" max="17" width="10.421875" style="623" hidden="1" customWidth="1"/>
    <col min="18" max="18" width="13.00390625" style="623" customWidth="1"/>
    <col min="19" max="19" width="11.421875" style="623" hidden="1" customWidth="1"/>
    <col min="20" max="20" width="12.421875" style="9" hidden="1" customWidth="1"/>
    <col min="21" max="21" width="12.7109375" style="9" hidden="1" customWidth="1"/>
    <col min="22" max="22" width="11.8515625" style="9" hidden="1" customWidth="1"/>
    <col min="23" max="23" width="12.28125" style="9" customWidth="1"/>
    <col min="24" max="24" width="1.7109375" style="9" hidden="1" customWidth="1"/>
    <col min="25" max="16384" width="9.140625" style="9" customWidth="1"/>
  </cols>
  <sheetData>
    <row r="1" spans="4:23" ht="12.75">
      <c r="D1" s="617"/>
      <c r="E1" s="617"/>
      <c r="F1" s="617"/>
      <c r="G1" s="617"/>
      <c r="H1" s="617"/>
      <c r="I1" s="617"/>
      <c r="J1" s="617"/>
      <c r="K1" s="1238" t="s">
        <v>633</v>
      </c>
      <c r="L1" s="1238"/>
      <c r="M1" s="1238"/>
      <c r="N1" s="1238"/>
      <c r="O1" s="1238"/>
      <c r="P1" s="1238"/>
      <c r="Q1" s="1238"/>
      <c r="R1" s="1238"/>
      <c r="S1" s="1238"/>
      <c r="T1" s="1238"/>
      <c r="U1" s="1238"/>
      <c r="V1" s="1238"/>
      <c r="W1" s="1238"/>
    </row>
    <row r="2" spans="1:19" ht="16.5" customHeight="1">
      <c r="A2" s="1239" t="s">
        <v>369</v>
      </c>
      <c r="B2" s="1239"/>
      <c r="C2" s="1239"/>
      <c r="D2" s="1239"/>
      <c r="E2" s="1239"/>
      <c r="F2" s="1239"/>
      <c r="G2" s="1239"/>
      <c r="H2" s="1239"/>
      <c r="I2" s="1239"/>
      <c r="J2" s="1239"/>
      <c r="K2" s="1239"/>
      <c r="L2" s="1239"/>
      <c r="M2" s="1239"/>
      <c r="N2" s="1239"/>
      <c r="O2" s="1239"/>
      <c r="P2" s="1239"/>
      <c r="Q2" s="1239"/>
      <c r="R2" s="1239"/>
      <c r="S2" s="618"/>
    </row>
    <row r="3" spans="1:19" ht="15" customHeight="1">
      <c r="A3" s="1240" t="s">
        <v>523</v>
      </c>
      <c r="B3" s="1240"/>
      <c r="C3" s="1240"/>
      <c r="D3" s="1240"/>
      <c r="E3" s="1240"/>
      <c r="F3" s="1240"/>
      <c r="G3" s="1240"/>
      <c r="H3" s="1240"/>
      <c r="I3" s="1240"/>
      <c r="J3" s="1240"/>
      <c r="K3" s="1240"/>
      <c r="L3" s="1240"/>
      <c r="M3" s="1240"/>
      <c r="N3" s="1240"/>
      <c r="O3" s="1240"/>
      <c r="P3" s="1240"/>
      <c r="Q3" s="1240"/>
      <c r="R3" s="1240"/>
      <c r="S3" s="619"/>
    </row>
    <row r="4" spans="1:19" ht="15" customHeight="1">
      <c r="A4" s="1241" t="s">
        <v>370</v>
      </c>
      <c r="B4" s="1241"/>
      <c r="C4" s="1241"/>
      <c r="D4" s="1241"/>
      <c r="E4" s="1241"/>
      <c r="F4" s="1241"/>
      <c r="G4" s="1241"/>
      <c r="H4" s="1241"/>
      <c r="I4" s="1241"/>
      <c r="J4" s="1241"/>
      <c r="K4" s="1241"/>
      <c r="L4" s="1241"/>
      <c r="M4" s="1241"/>
      <c r="N4" s="1241"/>
      <c r="O4" s="1241"/>
      <c r="P4" s="1241"/>
      <c r="Q4" s="1241"/>
      <c r="R4" s="1241"/>
      <c r="S4" s="620"/>
    </row>
    <row r="5" spans="2:23" ht="13.5" thickBot="1">
      <c r="B5" s="621"/>
      <c r="C5" s="621"/>
      <c r="R5" s="1246" t="s">
        <v>503</v>
      </c>
      <c r="S5" s="1246"/>
      <c r="T5" s="1246"/>
      <c r="U5" s="1246"/>
      <c r="V5" s="1246"/>
      <c r="W5" s="1246"/>
    </row>
    <row r="6" spans="1:25" s="626" customFormat="1" ht="41.25" customHeight="1" thickBot="1">
      <c r="A6" s="624" t="s">
        <v>6</v>
      </c>
      <c r="B6" s="1242" t="s">
        <v>4</v>
      </c>
      <c r="C6" s="1242"/>
      <c r="D6" s="1243" t="s">
        <v>5</v>
      </c>
      <c r="E6" s="1244"/>
      <c r="F6" s="1244"/>
      <c r="G6" s="1244"/>
      <c r="H6" s="1244"/>
      <c r="I6" s="1244"/>
      <c r="J6" s="1245"/>
      <c r="K6" s="1243" t="s">
        <v>371</v>
      </c>
      <c r="L6" s="1244"/>
      <c r="M6" s="1244"/>
      <c r="N6" s="1244"/>
      <c r="O6" s="1244"/>
      <c r="P6" s="1244"/>
      <c r="Q6" s="1245"/>
      <c r="R6" s="1243" t="s">
        <v>372</v>
      </c>
      <c r="S6" s="1244"/>
      <c r="T6" s="1244"/>
      <c r="U6" s="1244"/>
      <c r="V6" s="1244"/>
      <c r="W6" s="1244"/>
      <c r="X6" s="1245"/>
      <c r="Y6" s="625"/>
    </row>
    <row r="7" spans="1:24" s="626" customFormat="1" ht="41.25" customHeight="1" thickBot="1">
      <c r="A7" s="627"/>
      <c r="B7" s="628"/>
      <c r="C7" s="628"/>
      <c r="D7" s="629" t="s">
        <v>65</v>
      </c>
      <c r="E7" s="630" t="s">
        <v>229</v>
      </c>
      <c r="F7" s="630" t="s">
        <v>232</v>
      </c>
      <c r="G7" s="630" t="s">
        <v>234</v>
      </c>
      <c r="H7" s="630" t="s">
        <v>248</v>
      </c>
      <c r="I7" s="630" t="s">
        <v>253</v>
      </c>
      <c r="J7" s="631" t="s">
        <v>354</v>
      </c>
      <c r="K7" s="629" t="s">
        <v>65</v>
      </c>
      <c r="L7" s="630" t="s">
        <v>229</v>
      </c>
      <c r="M7" s="630" t="s">
        <v>232</v>
      </c>
      <c r="N7" s="630" t="s">
        <v>234</v>
      </c>
      <c r="O7" s="630" t="s">
        <v>248</v>
      </c>
      <c r="P7" s="630" t="s">
        <v>253</v>
      </c>
      <c r="Q7" s="631" t="s">
        <v>354</v>
      </c>
      <c r="R7" s="629" t="s">
        <v>65</v>
      </c>
      <c r="S7" s="630" t="s">
        <v>229</v>
      </c>
      <c r="T7" s="630" t="s">
        <v>232</v>
      </c>
      <c r="U7" s="630" t="s">
        <v>234</v>
      </c>
      <c r="V7" s="630" t="s">
        <v>248</v>
      </c>
      <c r="W7" s="630" t="s">
        <v>253</v>
      </c>
      <c r="X7" s="631" t="s">
        <v>354</v>
      </c>
    </row>
    <row r="8" spans="1:24" ht="27.75" customHeight="1">
      <c r="A8" s="53">
        <v>1</v>
      </c>
      <c r="B8" s="1247" t="s">
        <v>373</v>
      </c>
      <c r="C8" s="1247"/>
      <c r="D8" s="632">
        <v>807200</v>
      </c>
      <c r="E8" s="632">
        <v>807200</v>
      </c>
      <c r="F8" s="632">
        <v>807200</v>
      </c>
      <c r="G8" s="632">
        <v>807200</v>
      </c>
      <c r="H8" s="632">
        <v>807200</v>
      </c>
      <c r="I8" s="633">
        <v>1487200</v>
      </c>
      <c r="J8" s="634"/>
      <c r="K8" s="632">
        <v>807200</v>
      </c>
      <c r="L8" s="632">
        <v>807200</v>
      </c>
      <c r="M8" s="632">
        <v>807200</v>
      </c>
      <c r="N8" s="632">
        <v>807200</v>
      </c>
      <c r="O8" s="632">
        <v>807200</v>
      </c>
      <c r="P8" s="633">
        <v>1487200</v>
      </c>
      <c r="Q8" s="634"/>
      <c r="R8" s="632"/>
      <c r="S8" s="633"/>
      <c r="T8" s="633"/>
      <c r="U8" s="633"/>
      <c r="V8" s="633"/>
      <c r="W8" s="633"/>
      <c r="X8" s="635"/>
    </row>
    <row r="9" spans="1:24" ht="27.75" customHeight="1">
      <c r="A9" s="54">
        <v>2</v>
      </c>
      <c r="B9" s="1248" t="s">
        <v>537</v>
      </c>
      <c r="C9" s="1248"/>
      <c r="D9" s="637">
        <v>122133</v>
      </c>
      <c r="E9" s="637">
        <v>122133</v>
      </c>
      <c r="F9" s="637">
        <v>122133</v>
      </c>
      <c r="G9" s="637">
        <v>122133</v>
      </c>
      <c r="H9" s="637">
        <v>122133</v>
      </c>
      <c r="I9" s="637">
        <v>122133</v>
      </c>
      <c r="J9" s="639"/>
      <c r="K9" s="637">
        <v>122133</v>
      </c>
      <c r="L9" s="637">
        <v>122133</v>
      </c>
      <c r="M9" s="637">
        <v>122133</v>
      </c>
      <c r="N9" s="637">
        <v>122133</v>
      </c>
      <c r="O9" s="637">
        <v>122133</v>
      </c>
      <c r="P9" s="637">
        <v>122133</v>
      </c>
      <c r="Q9" s="639"/>
      <c r="R9" s="637"/>
      <c r="S9" s="638"/>
      <c r="T9" s="638"/>
      <c r="U9" s="638"/>
      <c r="V9" s="638"/>
      <c r="W9" s="638"/>
      <c r="X9" s="640"/>
    </row>
    <row r="10" spans="1:24" ht="27.75" customHeight="1">
      <c r="A10" s="54">
        <v>3</v>
      </c>
      <c r="B10" s="1248" t="s">
        <v>374</v>
      </c>
      <c r="C10" s="1248"/>
      <c r="D10" s="637">
        <v>2000000</v>
      </c>
      <c r="E10" s="637">
        <v>2000000</v>
      </c>
      <c r="F10" s="637">
        <v>2000000</v>
      </c>
      <c r="G10" s="637">
        <v>2000000</v>
      </c>
      <c r="H10" s="637">
        <v>2000000</v>
      </c>
      <c r="I10" s="637">
        <v>2000000</v>
      </c>
      <c r="J10" s="639"/>
      <c r="K10" s="637">
        <v>2000000</v>
      </c>
      <c r="L10" s="637">
        <v>2000000</v>
      </c>
      <c r="M10" s="637">
        <v>2000000</v>
      </c>
      <c r="N10" s="637">
        <v>2000000</v>
      </c>
      <c r="O10" s="637">
        <v>2000000</v>
      </c>
      <c r="P10" s="637">
        <v>2000000</v>
      </c>
      <c r="Q10" s="639"/>
      <c r="R10" s="637"/>
      <c r="S10" s="638"/>
      <c r="T10" s="638"/>
      <c r="U10" s="638"/>
      <c r="V10" s="638"/>
      <c r="W10" s="638"/>
      <c r="X10" s="640"/>
    </row>
    <row r="11" spans="1:24" ht="27.75" customHeight="1">
      <c r="A11" s="54">
        <v>4</v>
      </c>
      <c r="B11" s="1248" t="s">
        <v>375</v>
      </c>
      <c r="C11" s="1248"/>
      <c r="D11" s="637">
        <v>1866695</v>
      </c>
      <c r="E11" s="637">
        <v>1866695</v>
      </c>
      <c r="F11" s="637">
        <v>1866695</v>
      </c>
      <c r="G11" s="637">
        <v>1866695</v>
      </c>
      <c r="H11" s="637">
        <v>1866695</v>
      </c>
      <c r="I11" s="638">
        <v>1914124</v>
      </c>
      <c r="J11" s="639"/>
      <c r="K11" s="637"/>
      <c r="L11" s="637"/>
      <c r="M11" s="637"/>
      <c r="N11" s="637"/>
      <c r="O11" s="637"/>
      <c r="P11" s="638"/>
      <c r="Q11" s="639"/>
      <c r="R11" s="637">
        <v>1866695</v>
      </c>
      <c r="S11" s="637">
        <v>1866695</v>
      </c>
      <c r="T11" s="637">
        <v>1866695</v>
      </c>
      <c r="U11" s="637">
        <v>1866695</v>
      </c>
      <c r="V11" s="637">
        <v>1866695</v>
      </c>
      <c r="W11" s="638">
        <v>1914124</v>
      </c>
      <c r="X11" s="639">
        <f>V11/U11</f>
        <v>1</v>
      </c>
    </row>
    <row r="12" spans="1:24" ht="27.75" customHeight="1">
      <c r="A12" s="54">
        <v>5</v>
      </c>
      <c r="B12" s="1248" t="s">
        <v>376</v>
      </c>
      <c r="C12" s="1248"/>
      <c r="D12" s="637">
        <v>5858314</v>
      </c>
      <c r="E12" s="637">
        <v>5858314</v>
      </c>
      <c r="F12" s="637">
        <f>5858314+3247639+46512</f>
        <v>9152465</v>
      </c>
      <c r="G12" s="637">
        <f>5858314+3247639+46512</f>
        <v>9152465</v>
      </c>
      <c r="H12" s="637">
        <f>5858314+3247639+46512</f>
        <v>9152465</v>
      </c>
      <c r="I12" s="638">
        <v>9105953</v>
      </c>
      <c r="J12" s="639"/>
      <c r="K12" s="637">
        <v>5858314</v>
      </c>
      <c r="L12" s="637">
        <v>5858314</v>
      </c>
      <c r="M12" s="637">
        <f>5858314+3247639+46512</f>
        <v>9152465</v>
      </c>
      <c r="N12" s="637">
        <f>5858314+3247639+46512</f>
        <v>9152465</v>
      </c>
      <c r="O12" s="637">
        <f>5858314+3247639+46512</f>
        <v>9152465</v>
      </c>
      <c r="P12" s="638">
        <v>9105953</v>
      </c>
      <c r="Q12" s="639"/>
      <c r="R12" s="637"/>
      <c r="S12" s="638"/>
      <c r="T12" s="638"/>
      <c r="U12" s="638"/>
      <c r="V12" s="638"/>
      <c r="W12" s="638"/>
      <c r="X12" s="640"/>
    </row>
    <row r="13" spans="1:24" ht="27.75" customHeight="1">
      <c r="A13" s="54">
        <v>6</v>
      </c>
      <c r="B13" s="1248" t="s">
        <v>377</v>
      </c>
      <c r="C13" s="1248"/>
      <c r="D13" s="637">
        <v>40232607</v>
      </c>
      <c r="E13" s="637">
        <f>40232607+2*49000+59000</f>
        <v>40389607</v>
      </c>
      <c r="F13" s="637">
        <f>40232607+2*49000+59000+283558</f>
        <v>40673165</v>
      </c>
      <c r="G13" s="637">
        <f>40232607+2*49000+59000+283558</f>
        <v>40673165</v>
      </c>
      <c r="H13" s="637">
        <f>40232607+2*49000+59000+283558+3263295</f>
        <v>43936460</v>
      </c>
      <c r="I13" s="638">
        <v>115453674</v>
      </c>
      <c r="J13" s="639"/>
      <c r="K13" s="637">
        <v>40232607</v>
      </c>
      <c r="L13" s="637">
        <f>40232607+2*49000+59000</f>
        <v>40389607</v>
      </c>
      <c r="M13" s="637">
        <f>40232607+2*49000+59000+283558</f>
        <v>40673165</v>
      </c>
      <c r="N13" s="637">
        <f>40232607+2*49000+59000+283558</f>
        <v>40673165</v>
      </c>
      <c r="O13" s="637">
        <f>40232607+2*49000+59000+283558+3263295</f>
        <v>43936460</v>
      </c>
      <c r="P13" s="638">
        <v>115453674</v>
      </c>
      <c r="Q13" s="639"/>
      <c r="R13" s="637"/>
      <c r="S13" s="638"/>
      <c r="T13" s="638"/>
      <c r="U13" s="638"/>
      <c r="V13" s="638"/>
      <c r="W13" s="638"/>
      <c r="X13" s="640"/>
    </row>
    <row r="14" spans="1:24" ht="27.75" customHeight="1">
      <c r="A14" s="54">
        <v>7</v>
      </c>
      <c r="B14" s="636" t="s">
        <v>378</v>
      </c>
      <c r="C14" s="636"/>
      <c r="D14" s="637">
        <v>268100</v>
      </c>
      <c r="E14" s="637">
        <v>268100</v>
      </c>
      <c r="F14" s="637">
        <v>268100</v>
      </c>
      <c r="G14" s="637">
        <v>268100</v>
      </c>
      <c r="H14" s="637">
        <v>268100</v>
      </c>
      <c r="I14" s="637">
        <v>268100</v>
      </c>
      <c r="J14" s="639"/>
      <c r="K14" s="637">
        <v>268100</v>
      </c>
      <c r="L14" s="637">
        <v>268100</v>
      </c>
      <c r="M14" s="637">
        <v>268100</v>
      </c>
      <c r="N14" s="637">
        <v>268100</v>
      </c>
      <c r="O14" s="637">
        <v>268100</v>
      </c>
      <c r="P14" s="637">
        <v>268100</v>
      </c>
      <c r="Q14" s="639"/>
      <c r="R14" s="637"/>
      <c r="S14" s="638"/>
      <c r="T14" s="638"/>
      <c r="U14" s="638"/>
      <c r="V14" s="638"/>
      <c r="W14" s="638"/>
      <c r="X14" s="640"/>
    </row>
    <row r="15" spans="1:24" ht="27.75" customHeight="1">
      <c r="A15" s="54">
        <v>8</v>
      </c>
      <c r="B15" s="1248" t="s">
        <v>379</v>
      </c>
      <c r="C15" s="1248"/>
      <c r="D15" s="637">
        <v>2520838</v>
      </c>
      <c r="E15" s="637">
        <v>2520838</v>
      </c>
      <c r="F15" s="637">
        <f>2520838-90000</f>
        <v>2430838</v>
      </c>
      <c r="G15" s="637">
        <f>2520838-90000</f>
        <v>2430838</v>
      </c>
      <c r="H15" s="637">
        <f>2520838-90000</f>
        <v>2430838</v>
      </c>
      <c r="I15" s="638">
        <v>2430838</v>
      </c>
      <c r="J15" s="639"/>
      <c r="K15" s="637">
        <v>2520838</v>
      </c>
      <c r="L15" s="637">
        <v>2520838</v>
      </c>
      <c r="M15" s="637">
        <f>2520838-90000</f>
        <v>2430838</v>
      </c>
      <c r="N15" s="637">
        <f>2520838-90000</f>
        <v>2430838</v>
      </c>
      <c r="O15" s="637">
        <f>2520838-90000</f>
        <v>2430838</v>
      </c>
      <c r="P15" s="638">
        <v>2430838</v>
      </c>
      <c r="Q15" s="639"/>
      <c r="R15" s="637"/>
      <c r="S15" s="638"/>
      <c r="T15" s="638"/>
      <c r="U15" s="638"/>
      <c r="V15" s="638"/>
      <c r="W15" s="638"/>
      <c r="X15" s="640"/>
    </row>
    <row r="16" spans="1:24" ht="27.75" customHeight="1">
      <c r="A16" s="54">
        <v>9</v>
      </c>
      <c r="B16" s="1248" t="s">
        <v>380</v>
      </c>
      <c r="C16" s="1248"/>
      <c r="D16" s="637">
        <v>195600</v>
      </c>
      <c r="E16" s="637">
        <v>195600</v>
      </c>
      <c r="F16" s="637">
        <v>195600</v>
      </c>
      <c r="G16" s="637">
        <v>195600</v>
      </c>
      <c r="H16" s="637">
        <v>195600</v>
      </c>
      <c r="I16" s="637">
        <v>195600</v>
      </c>
      <c r="J16" s="639"/>
      <c r="K16" s="637">
        <v>195600</v>
      </c>
      <c r="L16" s="637">
        <v>195600</v>
      </c>
      <c r="M16" s="637">
        <v>195600</v>
      </c>
      <c r="N16" s="637">
        <v>195600</v>
      </c>
      <c r="O16" s="637">
        <v>195600</v>
      </c>
      <c r="P16" s="637">
        <v>195600</v>
      </c>
      <c r="Q16" s="639"/>
      <c r="R16" s="637"/>
      <c r="S16" s="638"/>
      <c r="T16" s="638"/>
      <c r="U16" s="638"/>
      <c r="V16" s="638"/>
      <c r="W16" s="638"/>
      <c r="X16" s="640"/>
    </row>
    <row r="17" spans="1:24" ht="36" customHeight="1" hidden="1">
      <c r="A17" s="54">
        <v>10</v>
      </c>
      <c r="B17" s="1250" t="s">
        <v>381</v>
      </c>
      <c r="C17" s="1251"/>
      <c r="D17" s="637"/>
      <c r="E17" s="637"/>
      <c r="F17" s="637"/>
      <c r="G17" s="637"/>
      <c r="H17" s="637"/>
      <c r="I17" s="638"/>
      <c r="J17" s="639"/>
      <c r="K17" s="637"/>
      <c r="L17" s="637"/>
      <c r="M17" s="637"/>
      <c r="N17" s="637"/>
      <c r="O17" s="637"/>
      <c r="P17" s="638"/>
      <c r="Q17" s="639"/>
      <c r="R17" s="637"/>
      <c r="S17" s="638"/>
      <c r="T17" s="638"/>
      <c r="U17" s="638"/>
      <c r="V17" s="638"/>
      <c r="W17" s="638"/>
      <c r="X17" s="640"/>
    </row>
    <row r="18" spans="1:24" ht="27.75" customHeight="1">
      <c r="A18" s="54">
        <v>10</v>
      </c>
      <c r="B18" s="1252" t="s">
        <v>382</v>
      </c>
      <c r="C18" s="1252"/>
      <c r="D18" s="641">
        <v>1206500</v>
      </c>
      <c r="E18" s="641">
        <v>1206500</v>
      </c>
      <c r="F18" s="641">
        <v>1206500</v>
      </c>
      <c r="G18" s="641">
        <v>1206500</v>
      </c>
      <c r="H18" s="641">
        <v>1206500</v>
      </c>
      <c r="I18" s="641">
        <v>1206500</v>
      </c>
      <c r="J18" s="639"/>
      <c r="K18" s="641">
        <v>1206500</v>
      </c>
      <c r="L18" s="641">
        <v>1206500</v>
      </c>
      <c r="M18" s="641">
        <v>1206500</v>
      </c>
      <c r="N18" s="641">
        <v>1206500</v>
      </c>
      <c r="O18" s="641">
        <v>1206500</v>
      </c>
      <c r="P18" s="641">
        <v>1206500</v>
      </c>
      <c r="Q18" s="639"/>
      <c r="R18" s="641"/>
      <c r="S18" s="642"/>
      <c r="T18" s="642"/>
      <c r="U18" s="642"/>
      <c r="V18" s="642"/>
      <c r="W18" s="642"/>
      <c r="X18" s="643"/>
    </row>
    <row r="19" spans="1:24" ht="27.75" customHeight="1">
      <c r="A19" s="54">
        <v>11</v>
      </c>
      <c r="B19" s="1253" t="s">
        <v>502</v>
      </c>
      <c r="C19" s="1252"/>
      <c r="D19" s="641">
        <v>173487</v>
      </c>
      <c r="E19" s="641">
        <v>173487</v>
      </c>
      <c r="F19" s="641">
        <v>173487</v>
      </c>
      <c r="G19" s="641">
        <v>173487</v>
      </c>
      <c r="H19" s="641">
        <v>173487</v>
      </c>
      <c r="I19" s="641">
        <v>173487</v>
      </c>
      <c r="J19" s="639"/>
      <c r="K19" s="641">
        <v>173487</v>
      </c>
      <c r="L19" s="641">
        <v>173487</v>
      </c>
      <c r="M19" s="641">
        <v>173487</v>
      </c>
      <c r="N19" s="641">
        <v>173487</v>
      </c>
      <c r="O19" s="641">
        <v>173487</v>
      </c>
      <c r="P19" s="641">
        <v>173487</v>
      </c>
      <c r="Q19" s="639"/>
      <c r="R19" s="641"/>
      <c r="S19" s="642"/>
      <c r="T19" s="642"/>
      <c r="U19" s="642"/>
      <c r="V19" s="642"/>
      <c r="W19" s="642"/>
      <c r="X19" s="643"/>
    </row>
    <row r="20" spans="1:24" ht="27.75" customHeight="1">
      <c r="A20" s="54">
        <v>12</v>
      </c>
      <c r="B20" s="1253" t="s">
        <v>578</v>
      </c>
      <c r="C20" s="1252"/>
      <c r="D20" s="641"/>
      <c r="E20" s="641"/>
      <c r="F20" s="641">
        <v>480000</v>
      </c>
      <c r="G20" s="641">
        <v>480000</v>
      </c>
      <c r="H20" s="641">
        <v>480000</v>
      </c>
      <c r="I20" s="642">
        <v>2348600</v>
      </c>
      <c r="J20" s="639"/>
      <c r="K20" s="641"/>
      <c r="L20" s="641"/>
      <c r="M20" s="641">
        <v>480000</v>
      </c>
      <c r="N20" s="641">
        <v>480000</v>
      </c>
      <c r="O20" s="641">
        <v>480000</v>
      </c>
      <c r="P20" s="642">
        <v>2348600</v>
      </c>
      <c r="Q20" s="639"/>
      <c r="R20" s="641"/>
      <c r="S20" s="642"/>
      <c r="T20" s="642"/>
      <c r="U20" s="642"/>
      <c r="V20" s="642"/>
      <c r="W20" s="642"/>
      <c r="X20" s="643"/>
    </row>
    <row r="21" spans="1:24" ht="27.75" customHeight="1">
      <c r="A21" s="54">
        <v>13</v>
      </c>
      <c r="B21" s="1253" t="s">
        <v>586</v>
      </c>
      <c r="C21" s="1252"/>
      <c r="D21" s="641"/>
      <c r="E21" s="641"/>
      <c r="F21" s="641"/>
      <c r="G21" s="641">
        <v>4495300</v>
      </c>
      <c r="H21" s="641">
        <v>4495300</v>
      </c>
      <c r="I21" s="642"/>
      <c r="J21" s="639"/>
      <c r="K21" s="641"/>
      <c r="L21" s="641"/>
      <c r="M21" s="641"/>
      <c r="N21" s="641">
        <v>4495300</v>
      </c>
      <c r="O21" s="641">
        <v>4495300</v>
      </c>
      <c r="P21" s="642"/>
      <c r="Q21" s="639"/>
      <c r="R21" s="641"/>
      <c r="S21" s="642"/>
      <c r="T21" s="642"/>
      <c r="U21" s="642"/>
      <c r="V21" s="642"/>
      <c r="W21" s="642"/>
      <c r="X21" s="643"/>
    </row>
    <row r="22" spans="1:24" ht="27.75" customHeight="1">
      <c r="A22" s="54">
        <v>14</v>
      </c>
      <c r="B22" s="1253" t="s">
        <v>587</v>
      </c>
      <c r="C22" s="1252"/>
      <c r="D22" s="641"/>
      <c r="E22" s="641"/>
      <c r="F22" s="641"/>
      <c r="G22" s="641">
        <v>1854000</v>
      </c>
      <c r="H22" s="641">
        <v>1854000</v>
      </c>
      <c r="I22" s="642">
        <v>1854000</v>
      </c>
      <c r="J22" s="639"/>
      <c r="K22" s="641"/>
      <c r="L22" s="641"/>
      <c r="M22" s="641"/>
      <c r="N22" s="641">
        <v>1854000</v>
      </c>
      <c r="O22" s="641">
        <v>1854000</v>
      </c>
      <c r="P22" s="642">
        <v>1854000</v>
      </c>
      <c r="Q22" s="639"/>
      <c r="R22" s="641"/>
      <c r="S22" s="642"/>
      <c r="T22" s="642"/>
      <c r="U22" s="642"/>
      <c r="V22" s="642"/>
      <c r="W22" s="642"/>
      <c r="X22" s="643"/>
    </row>
    <row r="23" spans="1:24" ht="27.75" customHeight="1">
      <c r="A23" s="54">
        <v>15</v>
      </c>
      <c r="B23" s="1253" t="s">
        <v>624</v>
      </c>
      <c r="C23" s="1252"/>
      <c r="D23" s="641"/>
      <c r="E23" s="641"/>
      <c r="F23" s="641"/>
      <c r="G23" s="641"/>
      <c r="H23" s="641"/>
      <c r="I23" s="642">
        <v>1536700</v>
      </c>
      <c r="J23" s="639"/>
      <c r="K23" s="641"/>
      <c r="L23" s="641"/>
      <c r="M23" s="641"/>
      <c r="N23" s="641"/>
      <c r="O23" s="641"/>
      <c r="P23" s="642">
        <v>1536700</v>
      </c>
      <c r="Q23" s="639"/>
      <c r="R23" s="641"/>
      <c r="S23" s="642"/>
      <c r="T23" s="642"/>
      <c r="U23" s="642"/>
      <c r="V23" s="642"/>
      <c r="W23" s="642"/>
      <c r="X23" s="643"/>
    </row>
    <row r="24" spans="1:24" ht="27.75" customHeight="1">
      <c r="A24" s="54"/>
      <c r="B24" s="1253" t="s">
        <v>625</v>
      </c>
      <c r="C24" s="1252"/>
      <c r="D24" s="641"/>
      <c r="E24" s="641"/>
      <c r="F24" s="641"/>
      <c r="G24" s="641"/>
      <c r="H24" s="641"/>
      <c r="I24" s="642">
        <v>825000</v>
      </c>
      <c r="J24" s="639"/>
      <c r="K24" s="641"/>
      <c r="L24" s="641"/>
      <c r="M24" s="641"/>
      <c r="N24" s="641"/>
      <c r="O24" s="641"/>
      <c r="P24" s="642">
        <v>825000</v>
      </c>
      <c r="Q24" s="639"/>
      <c r="R24" s="641"/>
      <c r="S24" s="642"/>
      <c r="T24" s="642"/>
      <c r="U24" s="642"/>
      <c r="V24" s="642"/>
      <c r="W24" s="642"/>
      <c r="X24" s="643"/>
    </row>
    <row r="25" spans="1:24" ht="27.75" customHeight="1">
      <c r="A25" s="54"/>
      <c r="B25" s="1253" t="s">
        <v>626</v>
      </c>
      <c r="C25" s="1252"/>
      <c r="D25" s="641"/>
      <c r="E25" s="641"/>
      <c r="F25" s="641"/>
      <c r="G25" s="641"/>
      <c r="H25" s="641"/>
      <c r="I25" s="642">
        <v>2266950</v>
      </c>
      <c r="J25" s="639"/>
      <c r="K25" s="641"/>
      <c r="L25" s="641"/>
      <c r="M25" s="641"/>
      <c r="N25" s="641"/>
      <c r="O25" s="641"/>
      <c r="P25" s="642">
        <v>2266950</v>
      </c>
      <c r="Q25" s="639"/>
      <c r="R25" s="641"/>
      <c r="S25" s="642"/>
      <c r="T25" s="642"/>
      <c r="U25" s="642"/>
      <c r="V25" s="642"/>
      <c r="W25" s="642"/>
      <c r="X25" s="643"/>
    </row>
    <row r="26" spans="1:24" ht="27.75" customHeight="1">
      <c r="A26" s="54"/>
      <c r="B26" s="1253"/>
      <c r="C26" s="1252"/>
      <c r="D26" s="641"/>
      <c r="E26" s="641"/>
      <c r="F26" s="641"/>
      <c r="G26" s="641"/>
      <c r="H26" s="641"/>
      <c r="I26" s="642"/>
      <c r="J26" s="639"/>
      <c r="K26" s="641"/>
      <c r="L26" s="641"/>
      <c r="M26" s="641"/>
      <c r="N26" s="641"/>
      <c r="O26" s="641"/>
      <c r="P26" s="642"/>
      <c r="Q26" s="639"/>
      <c r="R26" s="641"/>
      <c r="S26" s="642"/>
      <c r="T26" s="642"/>
      <c r="U26" s="642"/>
      <c r="V26" s="642"/>
      <c r="W26" s="642"/>
      <c r="X26" s="643"/>
    </row>
    <row r="27" spans="1:24" ht="27.75" customHeight="1">
      <c r="A27" s="54"/>
      <c r="B27" s="1253"/>
      <c r="C27" s="1252"/>
      <c r="D27" s="641"/>
      <c r="E27" s="641"/>
      <c r="F27" s="641"/>
      <c r="G27" s="641"/>
      <c r="H27" s="641"/>
      <c r="I27" s="642"/>
      <c r="J27" s="639"/>
      <c r="K27" s="641"/>
      <c r="L27" s="641"/>
      <c r="M27" s="641"/>
      <c r="N27" s="641"/>
      <c r="O27" s="641"/>
      <c r="P27" s="642"/>
      <c r="Q27" s="639"/>
      <c r="R27" s="641"/>
      <c r="S27" s="642"/>
      <c r="T27" s="642"/>
      <c r="U27" s="642"/>
      <c r="V27" s="642"/>
      <c r="W27" s="642"/>
      <c r="X27" s="643"/>
    </row>
    <row r="28" spans="1:24" ht="27.75" customHeight="1" thickBot="1">
      <c r="A28" s="644">
        <v>13</v>
      </c>
      <c r="B28" s="1254" t="s">
        <v>403</v>
      </c>
      <c r="C28" s="1255"/>
      <c r="D28" s="645"/>
      <c r="E28" s="645"/>
      <c r="F28" s="645"/>
      <c r="G28" s="645"/>
      <c r="H28" s="645"/>
      <c r="I28" s="646"/>
      <c r="J28" s="779"/>
      <c r="K28" s="645"/>
      <c r="L28" s="645"/>
      <c r="M28" s="645"/>
      <c r="N28" s="646"/>
      <c r="O28" s="645"/>
      <c r="P28" s="646"/>
      <c r="Q28" s="779"/>
      <c r="R28" s="645"/>
      <c r="S28" s="646"/>
      <c r="T28" s="646"/>
      <c r="U28" s="646"/>
      <c r="V28" s="646"/>
      <c r="W28" s="646"/>
      <c r="X28" s="647"/>
    </row>
    <row r="29" spans="1:24" ht="32.25" customHeight="1" thickBot="1">
      <c r="A29" s="648"/>
      <c r="B29" s="1249" t="s">
        <v>383</v>
      </c>
      <c r="C29" s="1249"/>
      <c r="D29" s="649">
        <f aca="true" t="shared" si="0" ref="D29:R29">SUM(D8:D28)</f>
        <v>55251474</v>
      </c>
      <c r="E29" s="649">
        <f t="shared" si="0"/>
        <v>55408474</v>
      </c>
      <c r="F29" s="649">
        <f t="shared" si="0"/>
        <v>59376183</v>
      </c>
      <c r="G29" s="649">
        <f t="shared" si="0"/>
        <v>65725483</v>
      </c>
      <c r="H29" s="649">
        <f>SUM(H8:H28)</f>
        <v>68988778</v>
      </c>
      <c r="I29" s="649">
        <f t="shared" si="0"/>
        <v>143188859</v>
      </c>
      <c r="J29" s="649">
        <f t="shared" si="0"/>
        <v>0</v>
      </c>
      <c r="K29" s="649">
        <f t="shared" si="0"/>
        <v>53384779</v>
      </c>
      <c r="L29" s="649">
        <f t="shared" si="0"/>
        <v>53541779</v>
      </c>
      <c r="M29" s="649">
        <f t="shared" si="0"/>
        <v>57509488</v>
      </c>
      <c r="N29" s="649">
        <f t="shared" si="0"/>
        <v>63858788</v>
      </c>
      <c r="O29" s="649">
        <f t="shared" si="0"/>
        <v>67122083</v>
      </c>
      <c r="P29" s="649">
        <f>SUM(P8:P28)</f>
        <v>141274735</v>
      </c>
      <c r="Q29" s="649">
        <f t="shared" si="0"/>
        <v>0</v>
      </c>
      <c r="R29" s="649">
        <f t="shared" si="0"/>
        <v>1866695</v>
      </c>
      <c r="S29" s="650">
        <f>SUM(S8:S18)</f>
        <v>1866695</v>
      </c>
      <c r="T29" s="650">
        <f>SUM(T8:T18)</f>
        <v>1866695</v>
      </c>
      <c r="U29" s="650">
        <f>SUM(U8:U18)</f>
        <v>1866695</v>
      </c>
      <c r="V29" s="650">
        <f>SUM(V8:V18)</f>
        <v>1866695</v>
      </c>
      <c r="W29" s="650">
        <f>SUM(W8:W18)</f>
        <v>1914124</v>
      </c>
      <c r="X29" s="651">
        <f>V29/U29</f>
        <v>1</v>
      </c>
    </row>
    <row r="30" spans="4:9" ht="12.75">
      <c r="D30" s="978" t="str">
        <f>IF(D29='4.sz.m.ÖNK kiadás'!E9," ","HIBA-nem egyenlő"=D19)</f>
        <v> </v>
      </c>
      <c r="I30" s="1073"/>
    </row>
    <row r="31" spans="4:19" ht="12.75">
      <c r="D31" s="9"/>
      <c r="E31" s="9"/>
      <c r="F31" s="9"/>
      <c r="G31" s="9"/>
      <c r="H31" s="9"/>
      <c r="I31" s="623"/>
      <c r="J31" s="9"/>
      <c r="K31" s="9"/>
      <c r="L31" s="9"/>
      <c r="R31" s="9"/>
      <c r="S31" s="9"/>
    </row>
    <row r="32" spans="4:19" ht="12.75">
      <c r="D32" s="9"/>
      <c r="E32" s="9"/>
      <c r="F32" s="9"/>
      <c r="G32" s="9"/>
      <c r="H32" s="623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4:19" ht="12.75">
      <c r="D33" s="9"/>
      <c r="E33" s="9"/>
      <c r="F33" s="9"/>
      <c r="G33" s="9"/>
      <c r="H33" s="623"/>
      <c r="I33" s="623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4:19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4:19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4:19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4:19" ht="12.7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4:19" ht="12.75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4:19" ht="12.75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4:19" ht="12.75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4:19" ht="12.75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4:19" ht="12.75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4:19" ht="12.75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4:19" ht="12.75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</sheetData>
  <sheetProtection/>
  <mergeCells count="30">
    <mergeCell ref="B10:C10"/>
    <mergeCell ref="B11:C11"/>
    <mergeCell ref="B12:C12"/>
    <mergeCell ref="B13:C13"/>
    <mergeCell ref="B27:C27"/>
    <mergeCell ref="B25:C25"/>
    <mergeCell ref="B26:C26"/>
    <mergeCell ref="B28:C28"/>
    <mergeCell ref="B20:C20"/>
    <mergeCell ref="B21:C21"/>
    <mergeCell ref="B22:C22"/>
    <mergeCell ref="B8:C8"/>
    <mergeCell ref="B9:C9"/>
    <mergeCell ref="B29:C29"/>
    <mergeCell ref="B15:C15"/>
    <mergeCell ref="B16:C16"/>
    <mergeCell ref="B17:C17"/>
    <mergeCell ref="B18:C18"/>
    <mergeCell ref="B19:C19"/>
    <mergeCell ref="B23:C23"/>
    <mergeCell ref="B24:C24"/>
    <mergeCell ref="K1:W1"/>
    <mergeCell ref="A2:R2"/>
    <mergeCell ref="A3:R3"/>
    <mergeCell ref="A4:R4"/>
    <mergeCell ref="B6:C6"/>
    <mergeCell ref="D6:J6"/>
    <mergeCell ref="K6:Q6"/>
    <mergeCell ref="R6:X6"/>
    <mergeCell ref="R5:W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="70" zoomScaleNormal="70" workbookViewId="0" topLeftCell="A1">
      <selection activeCell="A2" sqref="A2:Q2"/>
    </sheetView>
  </sheetViews>
  <sheetFormatPr defaultColWidth="9.140625" defaultRowHeight="12.75"/>
  <cols>
    <col min="1" max="1" width="50.28125" style="13" customWidth="1"/>
    <col min="2" max="2" width="13.28125" style="13" customWidth="1"/>
    <col min="3" max="3" width="22.57421875" style="28" customWidth="1"/>
    <col min="4" max="6" width="17.00390625" style="28" hidden="1" customWidth="1"/>
    <col min="7" max="7" width="18.00390625" style="28" hidden="1" customWidth="1"/>
    <col min="8" max="8" width="19.421875" style="28" customWidth="1"/>
    <col min="9" max="9" width="5.28125" style="28" hidden="1" customWidth="1"/>
    <col min="10" max="10" width="21.00390625" style="28" customWidth="1"/>
    <col min="11" max="13" width="17.00390625" style="28" hidden="1" customWidth="1"/>
    <col min="14" max="14" width="21.421875" style="28" hidden="1" customWidth="1"/>
    <col min="15" max="15" width="17.28125" style="28" customWidth="1"/>
    <col min="16" max="16" width="2.7109375" style="28" hidden="1" customWidth="1"/>
    <col min="17" max="17" width="22.57421875" style="28" customWidth="1"/>
    <col min="18" max="18" width="17.28125" style="13" hidden="1" customWidth="1"/>
    <col min="19" max="19" width="17.421875" style="13" hidden="1" customWidth="1"/>
    <col min="20" max="20" width="18.28125" style="13" hidden="1" customWidth="1"/>
    <col min="21" max="21" width="18.421875" style="13" hidden="1" customWidth="1"/>
    <col min="22" max="22" width="14.421875" style="13" customWidth="1"/>
    <col min="23" max="23" width="16.140625" style="13" hidden="1" customWidth="1"/>
    <col min="24" max="24" width="17.7109375" style="13" customWidth="1"/>
    <col min="25" max="25" width="9.140625" style="13" customWidth="1"/>
    <col min="26" max="26" width="13.28125" style="13" bestFit="1" customWidth="1"/>
    <col min="27" max="27" width="15.57421875" style="13" bestFit="1" customWidth="1"/>
    <col min="28" max="16384" width="9.140625" style="13" customWidth="1"/>
  </cols>
  <sheetData>
    <row r="1" spans="10:21" ht="24.75" customHeight="1">
      <c r="J1" s="1256" t="s">
        <v>632</v>
      </c>
      <c r="K1" s="1256"/>
      <c r="L1" s="1256"/>
      <c r="M1" s="1256"/>
      <c r="N1" s="1256"/>
      <c r="O1" s="1256"/>
      <c r="P1" s="1256"/>
      <c r="Q1" s="1256"/>
      <c r="R1" s="1256"/>
      <c r="S1" s="1256"/>
      <c r="T1" s="1256"/>
      <c r="U1" s="1256"/>
    </row>
    <row r="2" spans="1:17" ht="37.5" customHeight="1">
      <c r="A2" s="1257" t="s">
        <v>384</v>
      </c>
      <c r="B2" s="1257"/>
      <c r="C2" s="1258"/>
      <c r="D2" s="1258"/>
      <c r="E2" s="1258"/>
      <c r="F2" s="1258"/>
      <c r="G2" s="1258"/>
      <c r="H2" s="1258"/>
      <c r="I2" s="1258"/>
      <c r="J2" s="1258"/>
      <c r="K2" s="1258"/>
      <c r="L2" s="1258"/>
      <c r="M2" s="1258"/>
      <c r="N2" s="1258"/>
      <c r="O2" s="1258"/>
      <c r="P2" s="1258"/>
      <c r="Q2" s="1258"/>
    </row>
    <row r="3" spans="1:17" ht="18.75" customHeight="1">
      <c r="A3" s="1259" t="s">
        <v>523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259"/>
    </row>
    <row r="4" spans="1:17" ht="15.75">
      <c r="A4" s="1260" t="s">
        <v>385</v>
      </c>
      <c r="B4" s="1260"/>
      <c r="C4" s="1260"/>
      <c r="D4" s="1260"/>
      <c r="E4" s="1260"/>
      <c r="F4" s="1260"/>
      <c r="G4" s="1260"/>
      <c r="H4" s="1260"/>
      <c r="I4" s="1260"/>
      <c r="J4" s="1260"/>
      <c r="K4" s="1260"/>
      <c r="L4" s="1260"/>
      <c r="M4" s="1260"/>
      <c r="N4" s="1260"/>
      <c r="O4" s="1260"/>
      <c r="P4" s="1260"/>
      <c r="Q4" s="1260"/>
    </row>
    <row r="5" spans="1:17" ht="19.5" thickBot="1">
      <c r="A5" s="653"/>
      <c r="B5" s="653"/>
      <c r="Q5" s="652" t="s">
        <v>461</v>
      </c>
    </row>
    <row r="6" spans="1:24" ht="19.5" customHeight="1">
      <c r="A6" s="1261" t="s">
        <v>538</v>
      </c>
      <c r="B6" s="1264" t="s">
        <v>387</v>
      </c>
      <c r="C6" s="1267" t="s">
        <v>5</v>
      </c>
      <c r="D6" s="1268"/>
      <c r="E6" s="1268"/>
      <c r="F6" s="1268"/>
      <c r="G6" s="1268"/>
      <c r="H6" s="1268"/>
      <c r="I6" s="1269"/>
      <c r="J6" s="1267" t="s">
        <v>388</v>
      </c>
      <c r="K6" s="1268"/>
      <c r="L6" s="1268"/>
      <c r="M6" s="1268"/>
      <c r="N6" s="1268"/>
      <c r="O6" s="1268"/>
      <c r="P6" s="1269"/>
      <c r="Q6" s="1267" t="s">
        <v>26</v>
      </c>
      <c r="R6" s="1268"/>
      <c r="S6" s="1268"/>
      <c r="T6" s="1268"/>
      <c r="U6" s="1268"/>
      <c r="V6" s="1268"/>
      <c r="W6" s="1276"/>
      <c r="X6" s="654"/>
    </row>
    <row r="7" spans="1:24" ht="12.75" customHeight="1">
      <c r="A7" s="1262"/>
      <c r="B7" s="1265"/>
      <c r="C7" s="1270"/>
      <c r="D7" s="1271"/>
      <c r="E7" s="1271"/>
      <c r="F7" s="1271"/>
      <c r="G7" s="1271"/>
      <c r="H7" s="1271"/>
      <c r="I7" s="1272"/>
      <c r="J7" s="1270"/>
      <c r="K7" s="1271"/>
      <c r="L7" s="1271"/>
      <c r="M7" s="1271"/>
      <c r="N7" s="1271"/>
      <c r="O7" s="1271"/>
      <c r="P7" s="1272"/>
      <c r="Q7" s="1270"/>
      <c r="R7" s="1271"/>
      <c r="S7" s="1271"/>
      <c r="T7" s="1271"/>
      <c r="U7" s="1271"/>
      <c r="V7" s="1271"/>
      <c r="W7" s="1277"/>
      <c r="X7" s="656"/>
    </row>
    <row r="8" spans="1:24" ht="20.25" customHeight="1" thickBot="1">
      <c r="A8" s="1263"/>
      <c r="B8" s="1266"/>
      <c r="C8" s="1273"/>
      <c r="D8" s="1274"/>
      <c r="E8" s="1274"/>
      <c r="F8" s="1274"/>
      <c r="G8" s="1274"/>
      <c r="H8" s="1274"/>
      <c r="I8" s="1275"/>
      <c r="J8" s="1273"/>
      <c r="K8" s="1274"/>
      <c r="L8" s="1274"/>
      <c r="M8" s="1274"/>
      <c r="N8" s="1274"/>
      <c r="O8" s="1274"/>
      <c r="P8" s="1275"/>
      <c r="Q8" s="1273"/>
      <c r="R8" s="1274"/>
      <c r="S8" s="1274"/>
      <c r="T8" s="1274"/>
      <c r="U8" s="1274"/>
      <c r="V8" s="1274"/>
      <c r="W8" s="1278"/>
      <c r="X8" s="656"/>
    </row>
    <row r="9" spans="1:24" ht="113.25" thickTop="1">
      <c r="A9" s="657"/>
      <c r="B9" s="655"/>
      <c r="C9" s="658" t="s">
        <v>65</v>
      </c>
      <c r="D9" s="658" t="s">
        <v>229</v>
      </c>
      <c r="E9" s="658" t="s">
        <v>232</v>
      </c>
      <c r="F9" s="658" t="s">
        <v>234</v>
      </c>
      <c r="G9" s="659" t="s">
        <v>248</v>
      </c>
      <c r="H9" s="659" t="s">
        <v>253</v>
      </c>
      <c r="I9" s="659" t="s">
        <v>238</v>
      </c>
      <c r="J9" s="658" t="s">
        <v>65</v>
      </c>
      <c r="K9" s="658" t="s">
        <v>229</v>
      </c>
      <c r="L9" s="658" t="s">
        <v>232</v>
      </c>
      <c r="M9" s="658" t="s">
        <v>234</v>
      </c>
      <c r="N9" s="659" t="s">
        <v>248</v>
      </c>
      <c r="O9" s="659" t="s">
        <v>253</v>
      </c>
      <c r="P9" s="659" t="s">
        <v>238</v>
      </c>
      <c r="Q9" s="658" t="s">
        <v>65</v>
      </c>
      <c r="R9" s="658" t="s">
        <v>229</v>
      </c>
      <c r="S9" s="658" t="s">
        <v>232</v>
      </c>
      <c r="T9" s="658" t="s">
        <v>234</v>
      </c>
      <c r="U9" s="659" t="s">
        <v>248</v>
      </c>
      <c r="V9" s="659" t="s">
        <v>253</v>
      </c>
      <c r="W9" s="660" t="s">
        <v>238</v>
      </c>
      <c r="X9" s="656"/>
    </row>
    <row r="10" spans="1:24" ht="27" customHeight="1">
      <c r="A10" s="661" t="s">
        <v>539</v>
      </c>
      <c r="B10" s="662" t="s">
        <v>207</v>
      </c>
      <c r="C10" s="663">
        <v>100000</v>
      </c>
      <c r="D10" s="663">
        <v>100000</v>
      </c>
      <c r="E10" s="663">
        <v>100000</v>
      </c>
      <c r="F10" s="663">
        <v>100000</v>
      </c>
      <c r="G10" s="663">
        <v>100000</v>
      </c>
      <c r="H10" s="663">
        <v>100000</v>
      </c>
      <c r="I10" s="665"/>
      <c r="J10" s="663"/>
      <c r="K10" s="663"/>
      <c r="L10" s="663"/>
      <c r="M10" s="663"/>
      <c r="N10" s="664"/>
      <c r="O10" s="663">
        <v>100000</v>
      </c>
      <c r="P10" s="665"/>
      <c r="Q10" s="663">
        <f>C10-J10</f>
        <v>100000</v>
      </c>
      <c r="R10" s="663">
        <f>D10-K10</f>
        <v>100000</v>
      </c>
      <c r="S10" s="663">
        <f>E10-L10</f>
        <v>100000</v>
      </c>
      <c r="T10" s="663">
        <f>F10-M10</f>
        <v>100000</v>
      </c>
      <c r="U10" s="663">
        <f>G10-N10</f>
        <v>100000</v>
      </c>
      <c r="V10" s="663"/>
      <c r="W10" s="665">
        <f aca="true" t="shared" si="0" ref="W10:W15">U10/T10</f>
        <v>1</v>
      </c>
      <c r="X10" s="656"/>
    </row>
    <row r="11" spans="1:24" ht="27.75" customHeight="1">
      <c r="A11" s="661" t="s">
        <v>540</v>
      </c>
      <c r="B11" s="662" t="s">
        <v>207</v>
      </c>
      <c r="C11" s="663">
        <v>500000</v>
      </c>
      <c r="D11" s="663">
        <v>500000</v>
      </c>
      <c r="E11" s="663">
        <v>500000</v>
      </c>
      <c r="F11" s="663">
        <v>500000</v>
      </c>
      <c r="G11" s="663">
        <v>500000</v>
      </c>
      <c r="H11" s="663">
        <v>500000</v>
      </c>
      <c r="I11" s="665"/>
      <c r="J11" s="663"/>
      <c r="K11" s="663"/>
      <c r="L11" s="663"/>
      <c r="M11" s="663"/>
      <c r="N11" s="663"/>
      <c r="O11" s="663">
        <v>500000</v>
      </c>
      <c r="P11" s="665"/>
      <c r="Q11" s="663">
        <f aca="true" t="shared" si="1" ref="Q11:U16">C11-J11</f>
        <v>500000</v>
      </c>
      <c r="R11" s="663">
        <f t="shared" si="1"/>
        <v>500000</v>
      </c>
      <c r="S11" s="663">
        <f t="shared" si="1"/>
        <v>500000</v>
      </c>
      <c r="T11" s="663">
        <f t="shared" si="1"/>
        <v>500000</v>
      </c>
      <c r="U11" s="663">
        <f t="shared" si="1"/>
        <v>500000</v>
      </c>
      <c r="V11" s="663"/>
      <c r="W11" s="665">
        <f t="shared" si="0"/>
        <v>1</v>
      </c>
      <c r="X11" s="656"/>
    </row>
    <row r="12" spans="1:24" ht="27" customHeight="1" hidden="1">
      <c r="A12" s="661" t="s">
        <v>389</v>
      </c>
      <c r="B12" s="662" t="s">
        <v>207</v>
      </c>
      <c r="C12" s="663"/>
      <c r="D12" s="663"/>
      <c r="E12" s="663"/>
      <c r="F12" s="663"/>
      <c r="G12" s="663"/>
      <c r="H12" s="663"/>
      <c r="I12" s="665"/>
      <c r="J12" s="663"/>
      <c r="K12" s="663"/>
      <c r="L12" s="663"/>
      <c r="M12" s="663"/>
      <c r="N12" s="663"/>
      <c r="O12" s="663"/>
      <c r="P12" s="666"/>
      <c r="Q12" s="663">
        <f t="shared" si="1"/>
        <v>0</v>
      </c>
      <c r="R12" s="663">
        <f t="shared" si="1"/>
        <v>0</v>
      </c>
      <c r="S12" s="663">
        <f t="shared" si="1"/>
        <v>0</v>
      </c>
      <c r="T12" s="663">
        <f t="shared" si="1"/>
        <v>0</v>
      </c>
      <c r="U12" s="663">
        <f t="shared" si="1"/>
        <v>0</v>
      </c>
      <c r="V12" s="663"/>
      <c r="W12" s="665" t="e">
        <f t="shared" si="0"/>
        <v>#DIV/0!</v>
      </c>
      <c r="X12" s="656"/>
    </row>
    <row r="13" spans="1:26" ht="28.5" customHeight="1">
      <c r="A13" s="661" t="s">
        <v>541</v>
      </c>
      <c r="B13" s="662" t="s">
        <v>207</v>
      </c>
      <c r="C13" s="663">
        <f aca="true" t="shared" si="2" ref="C13:H13">150000+500000+500000</f>
        <v>1150000</v>
      </c>
      <c r="D13" s="663">
        <f t="shared" si="2"/>
        <v>1150000</v>
      </c>
      <c r="E13" s="663">
        <f t="shared" si="2"/>
        <v>1150000</v>
      </c>
      <c r="F13" s="663">
        <f t="shared" si="2"/>
        <v>1150000</v>
      </c>
      <c r="G13" s="663">
        <f t="shared" si="2"/>
        <v>1150000</v>
      </c>
      <c r="H13" s="663">
        <f t="shared" si="2"/>
        <v>1150000</v>
      </c>
      <c r="I13" s="665"/>
      <c r="J13" s="663"/>
      <c r="K13" s="663"/>
      <c r="L13" s="663"/>
      <c r="M13" s="663"/>
      <c r="N13" s="663"/>
      <c r="O13" s="663">
        <f>150000+500000+500000</f>
        <v>1150000</v>
      </c>
      <c r="P13" s="666"/>
      <c r="Q13" s="663">
        <f t="shared" si="1"/>
        <v>1150000</v>
      </c>
      <c r="R13" s="663">
        <f t="shared" si="1"/>
        <v>1150000</v>
      </c>
      <c r="S13" s="663">
        <f t="shared" si="1"/>
        <v>1150000</v>
      </c>
      <c r="T13" s="663">
        <f t="shared" si="1"/>
        <v>1150000</v>
      </c>
      <c r="U13" s="663">
        <f t="shared" si="1"/>
        <v>1150000</v>
      </c>
      <c r="V13" s="663"/>
      <c r="W13" s="665">
        <f t="shared" si="0"/>
        <v>1</v>
      </c>
      <c r="X13" s="656"/>
      <c r="Z13" s="28"/>
    </row>
    <row r="14" spans="1:24" ht="32.25" customHeight="1">
      <c r="A14" s="661" t="s">
        <v>542</v>
      </c>
      <c r="B14" s="662" t="s">
        <v>207</v>
      </c>
      <c r="C14" s="663">
        <v>500000</v>
      </c>
      <c r="D14" s="663">
        <v>500000</v>
      </c>
      <c r="E14" s="663">
        <v>500000</v>
      </c>
      <c r="F14" s="663">
        <v>500000</v>
      </c>
      <c r="G14" s="663">
        <v>500000</v>
      </c>
      <c r="H14" s="663">
        <v>500000</v>
      </c>
      <c r="I14" s="665"/>
      <c r="J14" s="663"/>
      <c r="K14" s="663"/>
      <c r="L14" s="663"/>
      <c r="M14" s="663"/>
      <c r="N14" s="663"/>
      <c r="O14" s="663">
        <v>500000</v>
      </c>
      <c r="P14" s="666"/>
      <c r="Q14" s="663">
        <f t="shared" si="1"/>
        <v>500000</v>
      </c>
      <c r="R14" s="663">
        <f t="shared" si="1"/>
        <v>500000</v>
      </c>
      <c r="S14" s="663">
        <f t="shared" si="1"/>
        <v>500000</v>
      </c>
      <c r="T14" s="663">
        <f t="shared" si="1"/>
        <v>500000</v>
      </c>
      <c r="U14" s="663">
        <f t="shared" si="1"/>
        <v>500000</v>
      </c>
      <c r="V14" s="663"/>
      <c r="W14" s="665">
        <f t="shared" si="0"/>
        <v>1</v>
      </c>
      <c r="X14" s="656"/>
    </row>
    <row r="15" spans="1:24" ht="33" customHeight="1">
      <c r="A15" s="661" t="s">
        <v>543</v>
      </c>
      <c r="B15" s="662" t="s">
        <v>207</v>
      </c>
      <c r="C15" s="668">
        <v>530000</v>
      </c>
      <c r="D15" s="668">
        <v>530000</v>
      </c>
      <c r="E15" s="668">
        <v>530000</v>
      </c>
      <c r="F15" s="668">
        <v>530000</v>
      </c>
      <c r="G15" s="668">
        <v>530000</v>
      </c>
      <c r="H15" s="668"/>
      <c r="I15" s="665"/>
      <c r="J15" s="668"/>
      <c r="K15" s="668"/>
      <c r="L15" s="668"/>
      <c r="M15" s="668"/>
      <c r="N15" s="668"/>
      <c r="O15" s="668"/>
      <c r="P15" s="666"/>
      <c r="Q15" s="663">
        <f t="shared" si="1"/>
        <v>530000</v>
      </c>
      <c r="R15" s="663">
        <f t="shared" si="1"/>
        <v>530000</v>
      </c>
      <c r="S15" s="663">
        <f t="shared" si="1"/>
        <v>530000</v>
      </c>
      <c r="T15" s="663">
        <f t="shared" si="1"/>
        <v>530000</v>
      </c>
      <c r="U15" s="663">
        <f t="shared" si="1"/>
        <v>530000</v>
      </c>
      <c r="V15" s="668"/>
      <c r="W15" s="665">
        <f t="shared" si="0"/>
        <v>1</v>
      </c>
      <c r="X15" s="656"/>
    </row>
    <row r="16" spans="1:24" ht="33" customHeight="1" thickBot="1">
      <c r="A16" s="661" t="s">
        <v>544</v>
      </c>
      <c r="B16" s="662" t="s">
        <v>208</v>
      </c>
      <c r="C16" s="668">
        <v>245952</v>
      </c>
      <c r="D16" s="668">
        <v>245952</v>
      </c>
      <c r="E16" s="668">
        <v>245952</v>
      </c>
      <c r="F16" s="668">
        <v>245952</v>
      </c>
      <c r="G16" s="668">
        <v>245952</v>
      </c>
      <c r="H16" s="668"/>
      <c r="I16" s="666"/>
      <c r="J16" s="668">
        <v>143640</v>
      </c>
      <c r="K16" s="668">
        <v>143640</v>
      </c>
      <c r="L16" s="668">
        <v>143640</v>
      </c>
      <c r="M16" s="668">
        <v>143640</v>
      </c>
      <c r="N16" s="668">
        <v>143640</v>
      </c>
      <c r="O16" s="668"/>
      <c r="P16" s="666"/>
      <c r="Q16" s="663">
        <f t="shared" si="1"/>
        <v>102312</v>
      </c>
      <c r="R16" s="663">
        <f t="shared" si="1"/>
        <v>102312</v>
      </c>
      <c r="S16" s="663">
        <f t="shared" si="1"/>
        <v>102312</v>
      </c>
      <c r="T16" s="663">
        <f t="shared" si="1"/>
        <v>102312</v>
      </c>
      <c r="U16" s="663">
        <f t="shared" si="1"/>
        <v>102312</v>
      </c>
      <c r="V16" s="668"/>
      <c r="W16" s="841"/>
      <c r="X16" s="656"/>
    </row>
    <row r="17" spans="1:24" ht="33" customHeight="1" hidden="1" thickBot="1">
      <c r="A17" s="858" t="s">
        <v>451</v>
      </c>
      <c r="B17" s="859" t="s">
        <v>208</v>
      </c>
      <c r="C17" s="860"/>
      <c r="D17" s="860"/>
      <c r="E17" s="860"/>
      <c r="F17" s="860"/>
      <c r="G17" s="860"/>
      <c r="H17" s="860"/>
      <c r="I17" s="861"/>
      <c r="J17" s="860"/>
      <c r="K17" s="860"/>
      <c r="L17" s="860"/>
      <c r="M17" s="860"/>
      <c r="N17" s="860"/>
      <c r="O17" s="860"/>
      <c r="P17" s="861"/>
      <c r="Q17" s="668"/>
      <c r="R17" s="668"/>
      <c r="S17" s="668"/>
      <c r="T17" s="668"/>
      <c r="U17" s="668"/>
      <c r="V17" s="860"/>
      <c r="W17" s="841"/>
      <c r="X17" s="656"/>
    </row>
    <row r="18" spans="1:24" ht="33" customHeight="1" hidden="1">
      <c r="A18" s="661" t="s">
        <v>468</v>
      </c>
      <c r="B18" s="662" t="s">
        <v>208</v>
      </c>
      <c r="C18" s="668"/>
      <c r="D18" s="668"/>
      <c r="E18" s="668"/>
      <c r="F18" s="668"/>
      <c r="G18" s="668"/>
      <c r="H18" s="668"/>
      <c r="I18" s="666"/>
      <c r="J18" s="668"/>
      <c r="K18" s="668"/>
      <c r="L18" s="668"/>
      <c r="M18" s="668"/>
      <c r="N18" s="668"/>
      <c r="O18" s="668"/>
      <c r="P18" s="666"/>
      <c r="Q18" s="668"/>
      <c r="R18" s="668"/>
      <c r="S18" s="668"/>
      <c r="T18" s="668"/>
      <c r="U18" s="668"/>
      <c r="V18" s="668"/>
      <c r="W18" s="841"/>
      <c r="X18" s="864"/>
    </row>
    <row r="19" spans="1:24" ht="33" customHeight="1" hidden="1">
      <c r="A19" s="943" t="s">
        <v>451</v>
      </c>
      <c r="B19" s="944" t="s">
        <v>208</v>
      </c>
      <c r="C19" s="945"/>
      <c r="D19" s="945"/>
      <c r="E19" s="945"/>
      <c r="F19" s="945"/>
      <c r="G19" s="945"/>
      <c r="H19" s="945"/>
      <c r="I19" s="946"/>
      <c r="J19" s="945"/>
      <c r="K19" s="945"/>
      <c r="L19" s="945"/>
      <c r="M19" s="945"/>
      <c r="N19" s="945"/>
      <c r="O19" s="945"/>
      <c r="P19" s="946"/>
      <c r="Q19" s="945"/>
      <c r="R19" s="945"/>
      <c r="S19" s="945"/>
      <c r="T19" s="945"/>
      <c r="U19" s="945"/>
      <c r="V19" s="945"/>
      <c r="W19" s="841"/>
      <c r="X19" s="864"/>
    </row>
    <row r="20" spans="1:24" ht="33" customHeight="1" hidden="1" thickBot="1">
      <c r="A20" s="858" t="s">
        <v>511</v>
      </c>
      <c r="B20" s="859" t="s">
        <v>208</v>
      </c>
      <c r="C20" s="860"/>
      <c r="D20" s="860"/>
      <c r="E20" s="860"/>
      <c r="F20" s="860"/>
      <c r="G20" s="860"/>
      <c r="H20" s="860"/>
      <c r="I20" s="861"/>
      <c r="J20" s="860"/>
      <c r="K20" s="860"/>
      <c r="L20" s="860"/>
      <c r="M20" s="860"/>
      <c r="N20" s="860"/>
      <c r="O20" s="860"/>
      <c r="P20" s="861"/>
      <c r="Q20" s="860"/>
      <c r="R20" s="860"/>
      <c r="S20" s="860"/>
      <c r="T20" s="860"/>
      <c r="U20" s="860"/>
      <c r="V20" s="860"/>
      <c r="W20" s="841"/>
      <c r="X20" s="864"/>
    </row>
    <row r="21" spans="1:24" ht="39" customHeight="1" thickBot="1" thickTop="1">
      <c r="A21" s="669" t="s">
        <v>21</v>
      </c>
      <c r="B21" s="670"/>
      <c r="C21" s="671">
        <f aca="true" t="shared" si="3" ref="C21:H21">SUM(C10:C18)</f>
        <v>3025952</v>
      </c>
      <c r="D21" s="671">
        <f t="shared" si="3"/>
        <v>3025952</v>
      </c>
      <c r="E21" s="671">
        <f t="shared" si="3"/>
        <v>3025952</v>
      </c>
      <c r="F21" s="671">
        <f t="shared" si="3"/>
        <v>3025952</v>
      </c>
      <c r="G21" s="671">
        <f t="shared" si="3"/>
        <v>3025952</v>
      </c>
      <c r="H21" s="671">
        <f t="shared" si="3"/>
        <v>2250000</v>
      </c>
      <c r="I21" s="671">
        <f aca="true" t="shared" si="4" ref="I21:N21">SUM(I10:I18)</f>
        <v>0</v>
      </c>
      <c r="J21" s="671">
        <f t="shared" si="4"/>
        <v>143640</v>
      </c>
      <c r="K21" s="671">
        <f t="shared" si="4"/>
        <v>143640</v>
      </c>
      <c r="L21" s="671">
        <f t="shared" si="4"/>
        <v>143640</v>
      </c>
      <c r="M21" s="671">
        <f t="shared" si="4"/>
        <v>143640</v>
      </c>
      <c r="N21" s="671">
        <f t="shared" si="4"/>
        <v>143640</v>
      </c>
      <c r="O21" s="671">
        <f>SUM(O10:P20)</f>
        <v>2250000</v>
      </c>
      <c r="P21" s="671">
        <f aca="true" t="shared" si="5" ref="P21:U21">SUM(P10:P18)</f>
        <v>0</v>
      </c>
      <c r="Q21" s="671">
        <f t="shared" si="5"/>
        <v>2882312</v>
      </c>
      <c r="R21" s="671">
        <f t="shared" si="5"/>
        <v>2882312</v>
      </c>
      <c r="S21" s="671">
        <f t="shared" si="5"/>
        <v>2882312</v>
      </c>
      <c r="T21" s="671">
        <f t="shared" si="5"/>
        <v>2882312</v>
      </c>
      <c r="U21" s="671">
        <f t="shared" si="5"/>
        <v>2882312</v>
      </c>
      <c r="V21" s="671">
        <f>SUM(V10:V20)</f>
        <v>0</v>
      </c>
      <c r="W21" s="672">
        <f>U21/R21</f>
        <v>1</v>
      </c>
      <c r="X21" s="864"/>
    </row>
    <row r="22" spans="1:24" ht="19.5" customHeight="1">
      <c r="A22" s="673"/>
      <c r="B22" s="673"/>
      <c r="C22" s="674"/>
      <c r="D22" s="674"/>
      <c r="E22" s="674"/>
      <c r="F22" s="674"/>
      <c r="G22" s="674"/>
      <c r="H22" s="674"/>
      <c r="I22" s="674"/>
      <c r="J22" s="674"/>
      <c r="K22" s="674"/>
      <c r="L22" s="674"/>
      <c r="M22" s="674"/>
      <c r="N22" s="674"/>
      <c r="O22" s="674"/>
      <c r="P22" s="674"/>
      <c r="Q22" s="674"/>
      <c r="V22" s="28"/>
      <c r="X22" s="675"/>
    </row>
    <row r="23" spans="1:17" ht="66" customHeight="1" thickBot="1">
      <c r="A23" s="1279" t="s">
        <v>390</v>
      </c>
      <c r="B23" s="1279"/>
      <c r="C23" s="1279"/>
      <c r="D23" s="1279"/>
      <c r="E23" s="1279"/>
      <c r="F23" s="1279"/>
      <c r="G23" s="1279"/>
      <c r="H23" s="1279"/>
      <c r="I23" s="1279"/>
      <c r="J23" s="1279"/>
      <c r="K23" s="1279"/>
      <c r="L23" s="1279"/>
      <c r="M23" s="1279"/>
      <c r="N23" s="1279"/>
      <c r="O23" s="1279"/>
      <c r="P23" s="1279"/>
      <c r="Q23" s="1279"/>
    </row>
    <row r="24" spans="1:24" ht="19.5" customHeight="1">
      <c r="A24" s="1261" t="s">
        <v>386</v>
      </c>
      <c r="B24" s="1264" t="s">
        <v>387</v>
      </c>
      <c r="C24" s="1267" t="s">
        <v>5</v>
      </c>
      <c r="D24" s="1268"/>
      <c r="E24" s="1268"/>
      <c r="F24" s="1268"/>
      <c r="G24" s="1268"/>
      <c r="H24" s="1268"/>
      <c r="I24" s="1269"/>
      <c r="J24" s="1267" t="s">
        <v>388</v>
      </c>
      <c r="K24" s="1268"/>
      <c r="L24" s="1268"/>
      <c r="M24" s="1268"/>
      <c r="N24" s="1268"/>
      <c r="O24" s="1268"/>
      <c r="P24" s="1269"/>
      <c r="Q24" s="1267" t="s">
        <v>26</v>
      </c>
      <c r="R24" s="1268"/>
      <c r="S24" s="1268"/>
      <c r="T24" s="1268"/>
      <c r="U24" s="1268"/>
      <c r="V24" s="1268"/>
      <c r="W24" s="1276"/>
      <c r="X24" s="656"/>
    </row>
    <row r="25" spans="1:24" s="677" customFormat="1" ht="19.5" customHeight="1">
      <c r="A25" s="1262"/>
      <c r="B25" s="1265"/>
      <c r="C25" s="1270"/>
      <c r="D25" s="1271"/>
      <c r="E25" s="1271"/>
      <c r="F25" s="1271"/>
      <c r="G25" s="1271"/>
      <c r="H25" s="1271"/>
      <c r="I25" s="1272"/>
      <c r="J25" s="1270"/>
      <c r="K25" s="1271"/>
      <c r="L25" s="1271"/>
      <c r="M25" s="1271"/>
      <c r="N25" s="1271"/>
      <c r="O25" s="1271"/>
      <c r="P25" s="1272"/>
      <c r="Q25" s="1270"/>
      <c r="R25" s="1271"/>
      <c r="S25" s="1271"/>
      <c r="T25" s="1271"/>
      <c r="U25" s="1271"/>
      <c r="V25" s="1271"/>
      <c r="W25" s="1277"/>
      <c r="X25" s="676"/>
    </row>
    <row r="26" spans="1:24" s="677" customFormat="1" ht="19.5" customHeight="1" thickBot="1">
      <c r="A26" s="1263"/>
      <c r="B26" s="1266"/>
      <c r="C26" s="1273"/>
      <c r="D26" s="1274"/>
      <c r="E26" s="1274"/>
      <c r="F26" s="1274"/>
      <c r="G26" s="1274"/>
      <c r="H26" s="1274"/>
      <c r="I26" s="1275"/>
      <c r="J26" s="1273"/>
      <c r="K26" s="1274"/>
      <c r="L26" s="1274"/>
      <c r="M26" s="1274"/>
      <c r="N26" s="1274"/>
      <c r="O26" s="1274"/>
      <c r="P26" s="1275"/>
      <c r="Q26" s="1273"/>
      <c r="R26" s="1274"/>
      <c r="S26" s="1274"/>
      <c r="T26" s="1274"/>
      <c r="U26" s="1274"/>
      <c r="V26" s="1274"/>
      <c r="W26" s="1278"/>
      <c r="X26" s="676"/>
    </row>
    <row r="27" spans="1:24" s="677" customFormat="1" ht="57.75" customHeight="1" thickTop="1">
      <c r="A27" s="678"/>
      <c r="B27" s="679"/>
      <c r="C27" s="659" t="s">
        <v>65</v>
      </c>
      <c r="D27" s="659" t="s">
        <v>229</v>
      </c>
      <c r="E27" s="659" t="s">
        <v>232</v>
      </c>
      <c r="F27" s="658" t="s">
        <v>234</v>
      </c>
      <c r="G27" s="659" t="s">
        <v>248</v>
      </c>
      <c r="H27" s="659" t="s">
        <v>253</v>
      </c>
      <c r="I27" s="659" t="s">
        <v>238</v>
      </c>
      <c r="J27" s="659" t="s">
        <v>65</v>
      </c>
      <c r="K27" s="659" t="s">
        <v>229</v>
      </c>
      <c r="L27" s="659" t="s">
        <v>232</v>
      </c>
      <c r="M27" s="658" t="s">
        <v>234</v>
      </c>
      <c r="N27" s="659" t="s">
        <v>248</v>
      </c>
      <c r="O27" s="659" t="s">
        <v>253</v>
      </c>
      <c r="P27" s="659" t="s">
        <v>238</v>
      </c>
      <c r="Q27" s="659" t="s">
        <v>65</v>
      </c>
      <c r="R27" s="659" t="s">
        <v>229</v>
      </c>
      <c r="S27" s="659" t="s">
        <v>232</v>
      </c>
      <c r="T27" s="659" t="s">
        <v>234</v>
      </c>
      <c r="U27" s="659" t="s">
        <v>248</v>
      </c>
      <c r="V27" s="659" t="s">
        <v>253</v>
      </c>
      <c r="W27" s="660" t="s">
        <v>238</v>
      </c>
      <c r="X27" s="676"/>
    </row>
    <row r="28" spans="1:24" s="677" customFormat="1" ht="34.5" customHeight="1" thickBot="1">
      <c r="A28" s="680" t="s">
        <v>595</v>
      </c>
      <c r="B28" s="681" t="s">
        <v>208</v>
      </c>
      <c r="C28" s="683"/>
      <c r="D28" s="683"/>
      <c r="E28" s="683"/>
      <c r="F28" s="683"/>
      <c r="G28" s="683">
        <v>211000</v>
      </c>
      <c r="H28" s="683">
        <v>392000</v>
      </c>
      <c r="I28" s="665"/>
      <c r="J28" s="683"/>
      <c r="K28" s="683"/>
      <c r="L28" s="683"/>
      <c r="M28" s="683"/>
      <c r="N28" s="683">
        <v>211000</v>
      </c>
      <c r="O28" s="683">
        <v>392000</v>
      </c>
      <c r="P28" s="665"/>
      <c r="Q28" s="683"/>
      <c r="R28" s="683"/>
      <c r="S28" s="683"/>
      <c r="T28" s="683"/>
      <c r="U28" s="682"/>
      <c r="V28" s="682"/>
      <c r="W28" s="665" t="e">
        <f>U28/R28</f>
        <v>#DIV/0!</v>
      </c>
      <c r="X28" s="676"/>
    </row>
    <row r="29" spans="1:24" s="677" customFormat="1" ht="15" hidden="1">
      <c r="A29" s="684" t="s">
        <v>391</v>
      </c>
      <c r="B29" s="685" t="s">
        <v>208</v>
      </c>
      <c r="C29" s="683"/>
      <c r="D29" s="683"/>
      <c r="E29" s="683"/>
      <c r="F29" s="683"/>
      <c r="G29" s="683"/>
      <c r="H29" s="683"/>
      <c r="I29" s="665"/>
      <c r="J29" s="683"/>
      <c r="K29" s="683"/>
      <c r="L29" s="683"/>
      <c r="M29" s="683"/>
      <c r="N29" s="683"/>
      <c r="O29" s="682"/>
      <c r="P29" s="665"/>
      <c r="Q29" s="682"/>
      <c r="R29" s="682"/>
      <c r="S29" s="682"/>
      <c r="T29" s="683"/>
      <c r="U29" s="683"/>
      <c r="V29" s="683"/>
      <c r="W29" s="665" t="e">
        <f>U29/R29</f>
        <v>#DIV/0!</v>
      </c>
      <c r="X29" s="676"/>
    </row>
    <row r="30" spans="1:24" s="677" customFormat="1" ht="30.75" customHeight="1" hidden="1">
      <c r="A30" s="684" t="s">
        <v>392</v>
      </c>
      <c r="B30" s="685" t="s">
        <v>208</v>
      </c>
      <c r="C30" s="683"/>
      <c r="D30" s="683"/>
      <c r="E30" s="683"/>
      <c r="F30" s="683"/>
      <c r="G30" s="683"/>
      <c r="H30" s="683"/>
      <c r="I30" s="665"/>
      <c r="J30" s="683"/>
      <c r="K30" s="683"/>
      <c r="L30" s="683"/>
      <c r="M30" s="683"/>
      <c r="N30" s="683"/>
      <c r="O30" s="682"/>
      <c r="P30" s="665"/>
      <c r="Q30" s="682"/>
      <c r="R30" s="682"/>
      <c r="S30" s="682"/>
      <c r="T30" s="683"/>
      <c r="U30" s="683"/>
      <c r="V30" s="683"/>
      <c r="W30" s="665" t="e">
        <f>U30/R30</f>
        <v>#DIV/0!</v>
      </c>
      <c r="X30" s="676"/>
    </row>
    <row r="31" spans="1:24" s="677" customFormat="1" ht="31.5" customHeight="1" hidden="1">
      <c r="A31" s="684" t="s">
        <v>393</v>
      </c>
      <c r="B31" s="685" t="s">
        <v>208</v>
      </c>
      <c r="C31" s="683"/>
      <c r="D31" s="683"/>
      <c r="E31" s="683"/>
      <c r="F31" s="683"/>
      <c r="G31" s="683"/>
      <c r="H31" s="683"/>
      <c r="I31" s="665"/>
      <c r="J31" s="683"/>
      <c r="K31" s="683"/>
      <c r="L31" s="683"/>
      <c r="M31" s="683"/>
      <c r="N31" s="683"/>
      <c r="O31" s="683"/>
      <c r="P31" s="665"/>
      <c r="Q31" s="682"/>
      <c r="R31" s="682"/>
      <c r="S31" s="682"/>
      <c r="T31" s="683"/>
      <c r="U31" s="683"/>
      <c r="V31" s="683"/>
      <c r="W31" s="665" t="e">
        <f>U31/R31</f>
        <v>#DIV/0!</v>
      </c>
      <c r="X31" s="676"/>
    </row>
    <row r="32" spans="1:24" s="677" customFormat="1" ht="31.5" customHeight="1" hidden="1">
      <c r="A32" s="684" t="s">
        <v>394</v>
      </c>
      <c r="B32" s="685" t="s">
        <v>208</v>
      </c>
      <c r="C32" s="668"/>
      <c r="D32" s="668"/>
      <c r="E32" s="668"/>
      <c r="F32" s="668"/>
      <c r="G32" s="668"/>
      <c r="H32" s="668"/>
      <c r="I32" s="667" t="e">
        <f>G32/E32</f>
        <v>#DIV/0!</v>
      </c>
      <c r="J32" s="668"/>
      <c r="K32" s="668"/>
      <c r="L32" s="668"/>
      <c r="M32" s="668"/>
      <c r="N32" s="668"/>
      <c r="O32" s="852"/>
      <c r="P32" s="667" t="e">
        <f>N32/L32</f>
        <v>#DIV/0!</v>
      </c>
      <c r="Q32" s="668"/>
      <c r="R32" s="668"/>
      <c r="S32" s="668"/>
      <c r="T32" s="668"/>
      <c r="U32" s="668">
        <f>G32-N32</f>
        <v>0</v>
      </c>
      <c r="V32" s="852"/>
      <c r="W32" s="667" t="e">
        <f>U32/S32</f>
        <v>#DIV/0!</v>
      </c>
      <c r="X32" s="676"/>
    </row>
    <row r="33" spans="1:24" s="677" customFormat="1" ht="27.75" customHeight="1" hidden="1">
      <c r="A33" s="684" t="s">
        <v>395</v>
      </c>
      <c r="B33" s="685" t="s">
        <v>208</v>
      </c>
      <c r="C33" s="668"/>
      <c r="D33" s="668"/>
      <c r="E33" s="668"/>
      <c r="F33" s="668"/>
      <c r="G33" s="668"/>
      <c r="H33" s="668"/>
      <c r="I33" s="667">
        <v>0</v>
      </c>
      <c r="J33" s="668"/>
      <c r="K33" s="668"/>
      <c r="L33" s="668"/>
      <c r="M33" s="668"/>
      <c r="N33" s="668"/>
      <c r="O33" s="852"/>
      <c r="P33" s="667">
        <v>0</v>
      </c>
      <c r="Q33" s="668"/>
      <c r="R33" s="668"/>
      <c r="S33" s="668"/>
      <c r="T33" s="668"/>
      <c r="U33" s="668">
        <f>G33-N33</f>
        <v>0</v>
      </c>
      <c r="V33" s="852"/>
      <c r="W33" s="667">
        <v>0</v>
      </c>
      <c r="X33" s="676"/>
    </row>
    <row r="34" spans="1:24" ht="33" customHeight="1" hidden="1" thickBot="1">
      <c r="A34" s="686" t="s">
        <v>396</v>
      </c>
      <c r="B34" s="687" t="s">
        <v>208</v>
      </c>
      <c r="C34" s="688"/>
      <c r="D34" s="688"/>
      <c r="E34" s="688"/>
      <c r="F34" s="688"/>
      <c r="G34" s="688"/>
      <c r="H34" s="688"/>
      <c r="I34" s="667">
        <v>0</v>
      </c>
      <c r="J34" s="688"/>
      <c r="K34" s="688"/>
      <c r="L34" s="688"/>
      <c r="M34" s="688"/>
      <c r="N34" s="688"/>
      <c r="O34" s="853"/>
      <c r="P34" s="667">
        <v>0</v>
      </c>
      <c r="Q34" s="688"/>
      <c r="R34" s="688"/>
      <c r="S34" s="688"/>
      <c r="T34" s="688"/>
      <c r="U34" s="688">
        <f>G34-N34</f>
        <v>0</v>
      </c>
      <c r="V34" s="853"/>
      <c r="W34" s="667">
        <v>0</v>
      </c>
      <c r="X34" s="656"/>
    </row>
    <row r="35" spans="1:24" ht="33" customHeight="1" hidden="1" thickBot="1" thickTop="1">
      <c r="A35" s="689"/>
      <c r="B35" s="690"/>
      <c r="C35" s="691"/>
      <c r="D35" s="691"/>
      <c r="E35" s="691"/>
      <c r="F35" s="691"/>
      <c r="G35" s="691"/>
      <c r="H35" s="691"/>
      <c r="I35" s="667">
        <v>0</v>
      </c>
      <c r="J35" s="691"/>
      <c r="K35" s="691"/>
      <c r="L35" s="691"/>
      <c r="M35" s="691"/>
      <c r="N35" s="691"/>
      <c r="O35" s="854"/>
      <c r="P35" s="667">
        <v>0</v>
      </c>
      <c r="Q35" s="691"/>
      <c r="R35" s="691"/>
      <c r="S35" s="691"/>
      <c r="T35" s="691"/>
      <c r="U35" s="691">
        <f>G35-N35</f>
        <v>0</v>
      </c>
      <c r="V35" s="854"/>
      <c r="W35" s="667">
        <v>0</v>
      </c>
      <c r="X35" s="656"/>
    </row>
    <row r="36" spans="1:24" ht="33" customHeight="1" thickBot="1" thickTop="1">
      <c r="A36" s="669" t="s">
        <v>21</v>
      </c>
      <c r="B36" s="670"/>
      <c r="C36" s="671">
        <f aca="true" t="shared" si="6" ref="C36:H36">SUM(C28:C34)</f>
        <v>0</v>
      </c>
      <c r="D36" s="671">
        <f t="shared" si="6"/>
        <v>0</v>
      </c>
      <c r="E36" s="671">
        <f t="shared" si="6"/>
        <v>0</v>
      </c>
      <c r="F36" s="671">
        <f t="shared" si="6"/>
        <v>0</v>
      </c>
      <c r="G36" s="671">
        <f t="shared" si="6"/>
        <v>211000</v>
      </c>
      <c r="H36" s="671">
        <f t="shared" si="6"/>
        <v>392000</v>
      </c>
      <c r="I36" s="672" t="e">
        <f>G36/D36</f>
        <v>#DIV/0!</v>
      </c>
      <c r="J36" s="671">
        <f aca="true" t="shared" si="7" ref="J36:O36">SUM(J28:J34)</f>
        <v>0</v>
      </c>
      <c r="K36" s="671">
        <f t="shared" si="7"/>
        <v>0</v>
      </c>
      <c r="L36" s="671">
        <f t="shared" si="7"/>
        <v>0</v>
      </c>
      <c r="M36" s="671">
        <f t="shared" si="7"/>
        <v>0</v>
      </c>
      <c r="N36" s="671">
        <f t="shared" si="7"/>
        <v>211000</v>
      </c>
      <c r="O36" s="671">
        <f t="shared" si="7"/>
        <v>392000</v>
      </c>
      <c r="P36" s="672" t="e">
        <f>N36/K36</f>
        <v>#DIV/0!</v>
      </c>
      <c r="Q36" s="671">
        <f aca="true" t="shared" si="8" ref="Q36:V36">SUM(Q28:Q34)</f>
        <v>0</v>
      </c>
      <c r="R36" s="671">
        <f t="shared" si="8"/>
        <v>0</v>
      </c>
      <c r="S36" s="671">
        <f t="shared" si="8"/>
        <v>0</v>
      </c>
      <c r="T36" s="671">
        <f t="shared" si="8"/>
        <v>0</v>
      </c>
      <c r="U36" s="671">
        <f t="shared" si="8"/>
        <v>0</v>
      </c>
      <c r="V36" s="671">
        <f t="shared" si="8"/>
        <v>0</v>
      </c>
      <c r="W36" s="672" t="e">
        <f>U36/R36</f>
        <v>#DIV/0!</v>
      </c>
      <c r="X36" s="656"/>
    </row>
    <row r="39" ht="12.75">
      <c r="K39" s="692"/>
    </row>
    <row r="40" ht="12.75">
      <c r="K40" s="692"/>
    </row>
    <row r="41" ht="12.75">
      <c r="K41" s="692"/>
    </row>
    <row r="42" ht="12.75">
      <c r="K42" s="692"/>
    </row>
  </sheetData>
  <sheetProtection/>
  <mergeCells count="15">
    <mergeCell ref="A23:Q23"/>
    <mergeCell ref="A24:A26"/>
    <mergeCell ref="B24:B26"/>
    <mergeCell ref="C24:I26"/>
    <mergeCell ref="J24:P26"/>
    <mergeCell ref="Q24:W26"/>
    <mergeCell ref="J1:U1"/>
    <mergeCell ref="A2:Q2"/>
    <mergeCell ref="A3:Q3"/>
    <mergeCell ref="A4:Q4"/>
    <mergeCell ref="A6:A8"/>
    <mergeCell ref="B6:B8"/>
    <mergeCell ref="C6:I8"/>
    <mergeCell ref="J6:P8"/>
    <mergeCell ref="Q6:W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0"/>
  <sheetViews>
    <sheetView zoomScale="70" zoomScaleNormal="70" workbookViewId="0" topLeftCell="A1">
      <selection activeCell="A2" sqref="A2:V2"/>
    </sheetView>
  </sheetViews>
  <sheetFormatPr defaultColWidth="9.140625" defaultRowHeight="12.75"/>
  <cols>
    <col min="1" max="1" width="53.00390625" style="306" customWidth="1"/>
    <col min="2" max="2" width="17.140625" style="16" bestFit="1" customWidth="1"/>
    <col min="3" max="3" width="17.140625" style="16" hidden="1" customWidth="1"/>
    <col min="4" max="5" width="16.421875" style="16" hidden="1" customWidth="1"/>
    <col min="6" max="6" width="15.7109375" style="16" hidden="1" customWidth="1"/>
    <col min="7" max="7" width="16.00390625" style="16" customWidth="1"/>
    <col min="8" max="8" width="16.00390625" style="16" hidden="1" customWidth="1"/>
    <col min="9" max="9" width="17.140625" style="16" customWidth="1"/>
    <col min="10" max="10" width="15.57421875" style="16" hidden="1" customWidth="1"/>
    <col min="11" max="11" width="15.7109375" style="16" hidden="1" customWidth="1"/>
    <col min="12" max="12" width="15.00390625" style="16" hidden="1" customWidth="1"/>
    <col min="13" max="13" width="17.421875" style="16" hidden="1" customWidth="1"/>
    <col min="14" max="14" width="17.28125" style="16" customWidth="1"/>
    <col min="15" max="15" width="14.57421875" style="16" hidden="1" customWidth="1"/>
    <col min="16" max="16" width="13.421875" style="16" hidden="1" customWidth="1"/>
    <col min="17" max="17" width="16.7109375" style="16" customWidth="1"/>
    <col min="18" max="18" width="8.421875" style="16" hidden="1" customWidth="1"/>
    <col min="19" max="19" width="9.28125" style="16" hidden="1" customWidth="1"/>
    <col min="20" max="20" width="11.7109375" style="16" hidden="1" customWidth="1"/>
    <col min="21" max="21" width="11.57421875" style="16" customWidth="1"/>
    <col min="22" max="22" width="17.57421875" style="16" customWidth="1"/>
    <col min="23" max="23" width="13.8515625" style="16" hidden="1" customWidth="1"/>
    <col min="24" max="24" width="14.8515625" style="16" hidden="1" customWidth="1"/>
    <col min="25" max="25" width="14.421875" style="16" hidden="1" customWidth="1"/>
    <col min="26" max="26" width="14.7109375" style="16" hidden="1" customWidth="1"/>
    <col min="27" max="27" width="14.421875" style="16" customWidth="1"/>
    <col min="28" max="28" width="14.00390625" style="16" hidden="1" customWidth="1"/>
    <col min="29" max="29" width="15.28125" style="16" customWidth="1"/>
    <col min="30" max="16384" width="9.140625" style="16" customWidth="1"/>
  </cols>
  <sheetData>
    <row r="1" spans="17:26" ht="12.75" customHeight="1">
      <c r="Q1" s="1297" t="s">
        <v>631</v>
      </c>
      <c r="R1" s="1297"/>
      <c r="S1" s="1297"/>
      <c r="T1" s="1297"/>
      <c r="U1" s="1297"/>
      <c r="V1" s="1297"/>
      <c r="W1" s="1297"/>
      <c r="X1" s="1297"/>
      <c r="Y1" s="1297"/>
      <c r="Z1" s="1297"/>
    </row>
    <row r="2" spans="1:22" ht="19.5">
      <c r="A2" s="1280" t="s">
        <v>506</v>
      </c>
      <c r="B2" s="1280"/>
      <c r="C2" s="1280"/>
      <c r="D2" s="1280"/>
      <c r="E2" s="1280"/>
      <c r="F2" s="1280"/>
      <c r="G2" s="1280"/>
      <c r="H2" s="1280"/>
      <c r="I2" s="1280"/>
      <c r="J2" s="1280"/>
      <c r="K2" s="1280"/>
      <c r="L2" s="1280"/>
      <c r="M2" s="1280"/>
      <c r="N2" s="1280"/>
      <c r="O2" s="1280"/>
      <c r="P2" s="1280"/>
      <c r="Q2" s="1280"/>
      <c r="R2" s="1280"/>
      <c r="S2" s="1280"/>
      <c r="T2" s="1280"/>
      <c r="U2" s="1280"/>
      <c r="V2" s="1280"/>
    </row>
    <row r="3" spans="1:22" ht="15.75">
      <c r="A3" s="1281" t="s">
        <v>523</v>
      </c>
      <c r="B3" s="1281"/>
      <c r="C3" s="1281"/>
      <c r="D3" s="1281"/>
      <c r="E3" s="1281"/>
      <c r="F3" s="1281"/>
      <c r="G3" s="1281"/>
      <c r="H3" s="1281"/>
      <c r="I3" s="1281"/>
      <c r="J3" s="1281"/>
      <c r="K3" s="1281"/>
      <c r="L3" s="1281"/>
      <c r="M3" s="1281"/>
      <c r="N3" s="1281"/>
      <c r="O3" s="1281"/>
      <c r="P3" s="1281"/>
      <c r="Q3" s="1281"/>
      <c r="R3" s="1281"/>
      <c r="S3" s="1281"/>
      <c r="T3" s="1281"/>
      <c r="U3" s="1281"/>
      <c r="V3" s="1281"/>
    </row>
    <row r="4" spans="1:22" ht="14.25">
      <c r="A4" s="1282" t="s">
        <v>194</v>
      </c>
      <c r="B4" s="1282"/>
      <c r="C4" s="1282"/>
      <c r="D4" s="1282"/>
      <c r="E4" s="1282"/>
      <c r="F4" s="1282"/>
      <c r="G4" s="1282"/>
      <c r="H4" s="1282"/>
      <c r="I4" s="1282"/>
      <c r="J4" s="1282"/>
      <c r="K4" s="1282"/>
      <c r="L4" s="1282"/>
      <c r="M4" s="1282"/>
      <c r="N4" s="1282"/>
      <c r="O4" s="1282"/>
      <c r="P4" s="1282"/>
      <c r="Q4" s="1282"/>
      <c r="R4" s="1282"/>
      <c r="S4" s="1282"/>
      <c r="T4" s="1282"/>
      <c r="U4" s="1282"/>
      <c r="V4" s="1282"/>
    </row>
    <row r="5" spans="1:22" ht="14.25">
      <c r="A5" s="915"/>
      <c r="B5" s="915"/>
      <c r="C5" s="915"/>
      <c r="D5" s="915"/>
      <c r="E5" s="915"/>
      <c r="F5" s="915"/>
      <c r="G5" s="915"/>
      <c r="H5" s="915"/>
      <c r="I5" s="915"/>
      <c r="J5" s="915"/>
      <c r="K5" s="915"/>
      <c r="L5" s="915"/>
      <c r="M5" s="915"/>
      <c r="N5" s="915"/>
      <c r="O5" s="950">
        <f>SUM(O11,O21)</f>
        <v>0</v>
      </c>
      <c r="P5" s="915"/>
      <c r="Q5" s="915"/>
      <c r="R5" s="915"/>
      <c r="S5" s="915"/>
      <c r="T5" s="915"/>
      <c r="U5" s="915"/>
      <c r="V5" s="915"/>
    </row>
    <row r="6" spans="1:22" ht="18.75" thickBot="1">
      <c r="A6" s="919" t="s">
        <v>507</v>
      </c>
      <c r="V6" s="12" t="s">
        <v>461</v>
      </c>
    </row>
    <row r="7" spans="1:29" ht="24.75" customHeight="1">
      <c r="A7" s="1283" t="s">
        <v>22</v>
      </c>
      <c r="B7" s="1285" t="s">
        <v>23</v>
      </c>
      <c r="C7" s="1286"/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7" t="s">
        <v>24</v>
      </c>
      <c r="R7" s="1288"/>
      <c r="S7" s="1288"/>
      <c r="T7" s="1288"/>
      <c r="U7" s="1288"/>
      <c r="V7" s="1288"/>
      <c r="W7" s="1288"/>
      <c r="X7" s="1288"/>
      <c r="Y7" s="1288"/>
      <c r="Z7" s="1288"/>
      <c r="AA7" s="1285"/>
      <c r="AB7" s="1289"/>
      <c r="AC7" s="543"/>
    </row>
    <row r="8" spans="1:29" ht="24.75" customHeight="1">
      <c r="A8" s="1284"/>
      <c r="B8" s="1290" t="s">
        <v>63</v>
      </c>
      <c r="C8" s="1291"/>
      <c r="D8" s="1291"/>
      <c r="E8" s="1291"/>
      <c r="F8" s="1291"/>
      <c r="G8" s="1291"/>
      <c r="H8" s="1292"/>
      <c r="I8" s="1290" t="s">
        <v>64</v>
      </c>
      <c r="J8" s="1291"/>
      <c r="K8" s="1291"/>
      <c r="L8" s="1291"/>
      <c r="M8" s="1291"/>
      <c r="N8" s="1291"/>
      <c r="O8" s="1291"/>
      <c r="P8" s="1291"/>
      <c r="Q8" s="1293" t="s">
        <v>63</v>
      </c>
      <c r="R8" s="1294"/>
      <c r="S8" s="1294"/>
      <c r="T8" s="1294"/>
      <c r="U8" s="1294"/>
      <c r="V8" s="1294" t="s">
        <v>64</v>
      </c>
      <c r="W8" s="1294"/>
      <c r="X8" s="1294"/>
      <c r="Y8" s="1294"/>
      <c r="Z8" s="1294"/>
      <c r="AA8" s="1290"/>
      <c r="AB8" s="1296"/>
      <c r="AC8" s="543"/>
    </row>
    <row r="9" spans="1:29" ht="42" customHeight="1">
      <c r="A9" s="300"/>
      <c r="B9" s="301" t="s">
        <v>230</v>
      </c>
      <c r="C9" s="301" t="s">
        <v>228</v>
      </c>
      <c r="D9" s="545" t="s">
        <v>233</v>
      </c>
      <c r="E9" s="301" t="s">
        <v>235</v>
      </c>
      <c r="F9" s="301" t="s">
        <v>450</v>
      </c>
      <c r="G9" s="301" t="s">
        <v>455</v>
      </c>
      <c r="H9" s="301" t="s">
        <v>238</v>
      </c>
      <c r="I9" s="301" t="s">
        <v>230</v>
      </c>
      <c r="J9" s="825" t="s">
        <v>228</v>
      </c>
      <c r="K9" s="830" t="s">
        <v>233</v>
      </c>
      <c r="L9" s="831" t="s">
        <v>235</v>
      </c>
      <c r="M9" s="301" t="s">
        <v>450</v>
      </c>
      <c r="N9" s="301" t="s">
        <v>455</v>
      </c>
      <c r="O9" s="856" t="s">
        <v>404</v>
      </c>
      <c r="P9" s="831" t="s">
        <v>238</v>
      </c>
      <c r="Q9" s="826" t="s">
        <v>230</v>
      </c>
      <c r="R9" s="301" t="s">
        <v>228</v>
      </c>
      <c r="S9" s="545" t="s">
        <v>233</v>
      </c>
      <c r="T9" s="301" t="s">
        <v>235</v>
      </c>
      <c r="U9" s="301" t="s">
        <v>455</v>
      </c>
      <c r="V9" s="301" t="s">
        <v>230</v>
      </c>
      <c r="W9" s="301" t="s">
        <v>228</v>
      </c>
      <c r="X9" s="545" t="s">
        <v>233</v>
      </c>
      <c r="Y9" s="301" t="s">
        <v>235</v>
      </c>
      <c r="Z9" s="301" t="s">
        <v>450</v>
      </c>
      <c r="AA9" s="301" t="s">
        <v>455</v>
      </c>
      <c r="AB9" s="301" t="s">
        <v>238</v>
      </c>
      <c r="AC9" s="543"/>
    </row>
    <row r="10" spans="1:29" ht="18">
      <c r="A10" s="4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385"/>
      <c r="P10" s="780"/>
      <c r="Q10" s="387"/>
      <c r="R10" s="48"/>
      <c r="S10" s="48"/>
      <c r="T10" s="48"/>
      <c r="U10" s="48"/>
      <c r="V10" s="50"/>
      <c r="W10" s="50"/>
      <c r="X10" s="50"/>
      <c r="Y10" s="50"/>
      <c r="Z10" s="50"/>
      <c r="AA10" s="386"/>
      <c r="AB10" s="68"/>
      <c r="AC10" s="543"/>
    </row>
    <row r="11" spans="1:29" ht="18">
      <c r="A11" s="43" t="s">
        <v>545</v>
      </c>
      <c r="B11" s="47"/>
      <c r="C11" s="47"/>
      <c r="D11" s="47"/>
      <c r="E11" s="47"/>
      <c r="F11" s="47"/>
      <c r="G11" s="47"/>
      <c r="H11" s="47"/>
      <c r="I11" s="47">
        <v>4300000</v>
      </c>
      <c r="J11" s="47">
        <v>4300000</v>
      </c>
      <c r="K11" s="47">
        <v>4300000</v>
      </c>
      <c r="L11" s="47">
        <v>4300000</v>
      </c>
      <c r="M11" s="47">
        <v>4300000</v>
      </c>
      <c r="N11" s="47">
        <v>4300000</v>
      </c>
      <c r="O11" s="949"/>
      <c r="P11" s="780"/>
      <c r="Q11" s="387"/>
      <c r="R11" s="48"/>
      <c r="S11" s="48"/>
      <c r="T11" s="48"/>
      <c r="U11" s="48"/>
      <c r="V11" s="50"/>
      <c r="W11" s="50"/>
      <c r="X11" s="50"/>
      <c r="Y11" s="50"/>
      <c r="Z11" s="50"/>
      <c r="AA11" s="50"/>
      <c r="AB11" s="68"/>
      <c r="AC11" s="543"/>
    </row>
    <row r="12" spans="1:29" ht="18">
      <c r="A12" s="43" t="s">
        <v>546</v>
      </c>
      <c r="B12" s="47"/>
      <c r="C12" s="47"/>
      <c r="D12" s="47"/>
      <c r="E12" s="47"/>
      <c r="F12" s="47"/>
      <c r="G12" s="47"/>
      <c r="H12" s="47"/>
      <c r="I12" s="47">
        <v>1000000</v>
      </c>
      <c r="J12" s="47">
        <v>1000000</v>
      </c>
      <c r="K12" s="47">
        <v>1000000</v>
      </c>
      <c r="L12" s="47">
        <v>1000000</v>
      </c>
      <c r="M12" s="47">
        <v>1000000</v>
      </c>
      <c r="N12" s="47">
        <v>1000000</v>
      </c>
      <c r="O12" s="949"/>
      <c r="P12" s="780"/>
      <c r="Q12" s="387"/>
      <c r="R12" s="48"/>
      <c r="S12" s="48"/>
      <c r="T12" s="48"/>
      <c r="U12" s="48"/>
      <c r="V12" s="50"/>
      <c r="W12" s="50"/>
      <c r="X12" s="50"/>
      <c r="Y12" s="50"/>
      <c r="Z12" s="50"/>
      <c r="AA12" s="50"/>
      <c r="AB12" s="68"/>
      <c r="AC12" s="543"/>
    </row>
    <row r="13" spans="1:29" ht="18">
      <c r="A13" s="43" t="s">
        <v>547</v>
      </c>
      <c r="B13" s="47"/>
      <c r="C13" s="47"/>
      <c r="D13" s="47"/>
      <c r="E13" s="47"/>
      <c r="F13" s="47"/>
      <c r="G13" s="47"/>
      <c r="H13" s="47"/>
      <c r="I13" s="47">
        <v>1200000</v>
      </c>
      <c r="J13" s="47">
        <v>1200000</v>
      </c>
      <c r="K13" s="47">
        <v>1200000</v>
      </c>
      <c r="L13" s="47">
        <v>1200000</v>
      </c>
      <c r="M13" s="47">
        <v>1200000</v>
      </c>
      <c r="N13" s="47">
        <v>1200000</v>
      </c>
      <c r="O13" s="949"/>
      <c r="P13" s="780"/>
      <c r="Q13" s="387"/>
      <c r="R13" s="48"/>
      <c r="S13" s="48"/>
      <c r="T13" s="48"/>
      <c r="U13" s="48"/>
      <c r="V13" s="50"/>
      <c r="W13" s="50"/>
      <c r="X13" s="50"/>
      <c r="Y13" s="50"/>
      <c r="Z13" s="50"/>
      <c r="AA13" s="50"/>
      <c r="AB13" s="68"/>
      <c r="AC13" s="543"/>
    </row>
    <row r="14" spans="1:29" ht="30.75">
      <c r="A14" s="43" t="s">
        <v>569</v>
      </c>
      <c r="B14" s="47"/>
      <c r="C14" s="47"/>
      <c r="D14" s="47"/>
      <c r="E14" s="47"/>
      <c r="F14" s="47"/>
      <c r="G14" s="47"/>
      <c r="H14" s="47"/>
      <c r="I14" s="47"/>
      <c r="J14" s="47">
        <v>190500</v>
      </c>
      <c r="K14" s="47">
        <v>190500</v>
      </c>
      <c r="L14" s="47">
        <v>190500</v>
      </c>
      <c r="M14" s="47">
        <v>190500</v>
      </c>
      <c r="N14" s="47">
        <v>190500</v>
      </c>
      <c r="O14" s="385"/>
      <c r="P14" s="385"/>
      <c r="Q14" s="387"/>
      <c r="R14" s="48"/>
      <c r="S14" s="48"/>
      <c r="T14" s="48"/>
      <c r="U14" s="48"/>
      <c r="V14" s="50"/>
      <c r="W14" s="50"/>
      <c r="X14" s="50"/>
      <c r="Y14" s="50"/>
      <c r="Z14" s="50"/>
      <c r="AA14" s="50"/>
      <c r="AB14" s="68"/>
      <c r="AC14" s="543"/>
    </row>
    <row r="15" spans="1:29" ht="18">
      <c r="A15" s="44" t="s">
        <v>217</v>
      </c>
      <c r="B15" s="47"/>
      <c r="C15" s="47"/>
      <c r="D15" s="47"/>
      <c r="E15" s="47"/>
      <c r="F15" s="47"/>
      <c r="G15" s="47"/>
      <c r="H15" s="47"/>
      <c r="I15" s="47">
        <v>90000</v>
      </c>
      <c r="J15" s="47">
        <v>90000</v>
      </c>
      <c r="K15" s="47">
        <v>90000</v>
      </c>
      <c r="L15" s="47">
        <v>90000</v>
      </c>
      <c r="M15" s="47">
        <v>90000</v>
      </c>
      <c r="N15" s="47">
        <v>140000</v>
      </c>
      <c r="O15" s="385"/>
      <c r="P15" s="780"/>
      <c r="Q15" s="387"/>
      <c r="R15" s="48"/>
      <c r="S15" s="48"/>
      <c r="T15" s="48"/>
      <c r="U15" s="48"/>
      <c r="V15" s="50"/>
      <c r="W15" s="50"/>
      <c r="X15" s="50"/>
      <c r="Y15" s="50"/>
      <c r="Z15" s="50"/>
      <c r="AA15" s="50"/>
      <c r="AB15" s="68"/>
      <c r="AC15" s="543"/>
    </row>
    <row r="16" spans="1:29" ht="18">
      <c r="A16" s="44" t="s">
        <v>218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385"/>
      <c r="P16" s="780"/>
      <c r="Q16" s="387"/>
      <c r="R16" s="48"/>
      <c r="S16" s="48"/>
      <c r="T16" s="48"/>
      <c r="U16" s="48"/>
      <c r="V16" s="50"/>
      <c r="W16" s="50"/>
      <c r="X16" s="50"/>
      <c r="Y16" s="50"/>
      <c r="Z16" s="50"/>
      <c r="AA16" s="50"/>
      <c r="AB16" s="68"/>
      <c r="AC16" s="543"/>
    </row>
    <row r="17" spans="1:29" ht="18">
      <c r="A17" s="44" t="s">
        <v>219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385"/>
      <c r="P17" s="780"/>
      <c r="Q17" s="387"/>
      <c r="R17" s="48"/>
      <c r="S17" s="48"/>
      <c r="T17" s="48"/>
      <c r="U17" s="48"/>
      <c r="V17" s="50">
        <v>3000000</v>
      </c>
      <c r="W17" s="50">
        <v>3000000</v>
      </c>
      <c r="X17" s="50">
        <v>3000000</v>
      </c>
      <c r="Y17" s="50">
        <v>3000000</v>
      </c>
      <c r="Z17" s="50">
        <v>3000000</v>
      </c>
      <c r="AA17" s="50">
        <v>3000000</v>
      </c>
      <c r="AB17" s="780">
        <f>Z17/Y17</f>
        <v>1</v>
      </c>
      <c r="AC17" s="543"/>
    </row>
    <row r="18" spans="1:29" ht="18">
      <c r="A18" s="44" t="s">
        <v>223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385"/>
      <c r="P18" s="780"/>
      <c r="Q18" s="387"/>
      <c r="R18" s="48"/>
      <c r="S18" s="48"/>
      <c r="T18" s="48"/>
      <c r="U18" s="48"/>
      <c r="V18" s="50"/>
      <c r="W18" s="50"/>
      <c r="X18" s="50"/>
      <c r="Y18" s="50"/>
      <c r="Z18" s="50"/>
      <c r="AA18" s="50"/>
      <c r="AB18" s="780" t="e">
        <f>Z18/Y18</f>
        <v>#DIV/0!</v>
      </c>
      <c r="AC18" s="543"/>
    </row>
    <row r="19" spans="1:29" ht="33" customHeight="1">
      <c r="A19" s="44" t="s">
        <v>517</v>
      </c>
      <c r="B19" s="47"/>
      <c r="C19" s="47"/>
      <c r="D19" s="47"/>
      <c r="E19" s="47"/>
      <c r="F19" s="47"/>
      <c r="G19" s="47"/>
      <c r="H19" s="47"/>
      <c r="I19" s="47">
        <f>4100530+240495</f>
        <v>4341025</v>
      </c>
      <c r="J19" s="47">
        <f>4100530+240495</f>
        <v>4341025</v>
      </c>
      <c r="K19" s="47">
        <f>4100530+240495-56000-198000</f>
        <v>4087025</v>
      </c>
      <c r="L19" s="47">
        <f>4100530+240495-56000-198000</f>
        <v>4087025</v>
      </c>
      <c r="M19" s="47">
        <f>4100530+240495-56000-198000</f>
        <v>4087025</v>
      </c>
      <c r="N19" s="47">
        <f>SUM(N20:N41)</f>
        <v>3809505</v>
      </c>
      <c r="O19" s="47"/>
      <c r="P19" s="780"/>
      <c r="Q19" s="388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780" t="e">
        <f>Z19/Y19</f>
        <v>#DIV/0!</v>
      </c>
      <c r="AC19" s="832"/>
    </row>
    <row r="20" spans="1:29" ht="17.25" customHeight="1">
      <c r="A20" s="616" t="s">
        <v>360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385"/>
      <c r="P20" s="385"/>
      <c r="Q20" s="388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68"/>
      <c r="AC20" s="543"/>
    </row>
    <row r="21" spans="1:29" ht="17.25" customHeight="1">
      <c r="A21" s="616" t="s">
        <v>618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>
        <f>60000+616000</f>
        <v>676000</v>
      </c>
      <c r="O21" s="385"/>
      <c r="P21" s="780"/>
      <c r="Q21" s="388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68"/>
      <c r="AC21" s="832"/>
    </row>
    <row r="22" spans="1:29" ht="17.25" customHeight="1">
      <c r="A22" s="616" t="s">
        <v>361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385"/>
      <c r="P22" s="780"/>
      <c r="Q22" s="388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68"/>
      <c r="AC22" s="543"/>
    </row>
    <row r="23" spans="1:29" ht="17.25" customHeight="1">
      <c r="A23" s="616" t="s">
        <v>362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385"/>
      <c r="P23" s="780"/>
      <c r="Q23" s="388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68"/>
      <c r="AC23" s="543"/>
    </row>
    <row r="24" spans="1:29" ht="17.25" customHeight="1">
      <c r="A24" s="616" t="s">
        <v>364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>
        <v>212000</v>
      </c>
      <c r="O24" s="385"/>
      <c r="P24" s="780"/>
      <c r="Q24" s="388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68"/>
      <c r="AC24" s="543"/>
    </row>
    <row r="25" spans="1:29" ht="17.25" customHeight="1">
      <c r="A25" s="616" t="s">
        <v>444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>
        <v>60000</v>
      </c>
      <c r="O25" s="385"/>
      <c r="P25" s="780"/>
      <c r="Q25" s="388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68"/>
      <c r="AC25" s="543"/>
    </row>
    <row r="26" spans="1:29" ht="17.25" customHeight="1">
      <c r="A26" s="616" t="s">
        <v>368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>
        <v>80000</v>
      </c>
      <c r="O26" s="385"/>
      <c r="P26" s="780"/>
      <c r="Q26" s="388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68"/>
      <c r="AC26" s="543"/>
    </row>
    <row r="27" spans="1:29" ht="17.25" customHeight="1">
      <c r="A27" s="616" t="s">
        <v>516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385"/>
      <c r="P27" s="780"/>
      <c r="Q27" s="388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68"/>
      <c r="AC27" s="543"/>
    </row>
    <row r="28" spans="1:29" ht="17.25" customHeight="1">
      <c r="A28" s="616" t="s">
        <v>365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>
        <v>130000</v>
      </c>
      <c r="O28" s="385"/>
      <c r="P28" s="780"/>
      <c r="Q28" s="388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68"/>
      <c r="AC28" s="543"/>
    </row>
    <row r="29" spans="1:29" ht="17.25" customHeight="1">
      <c r="A29" s="616" t="s">
        <v>442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385"/>
      <c r="P29" s="780"/>
      <c r="Q29" s="388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68"/>
      <c r="AC29" s="543"/>
    </row>
    <row r="30" spans="1:29" ht="17.25" customHeight="1">
      <c r="A30" s="616" t="s">
        <v>613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>
        <v>40000</v>
      </c>
      <c r="O30" s="385"/>
      <c r="P30" s="780"/>
      <c r="Q30" s="388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68"/>
      <c r="AC30" s="543"/>
    </row>
    <row r="31" spans="1:29" ht="17.25" customHeight="1">
      <c r="A31" s="616" t="s">
        <v>614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>
        <v>40000</v>
      </c>
      <c r="O31" s="385"/>
      <c r="P31" s="780"/>
      <c r="Q31" s="388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68"/>
      <c r="AC31" s="543"/>
    </row>
    <row r="32" spans="1:29" ht="17.25" customHeight="1">
      <c r="A32" s="616" t="s">
        <v>366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385"/>
      <c r="P32" s="780"/>
      <c r="Q32" s="388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68"/>
      <c r="AC32" s="543"/>
    </row>
    <row r="33" spans="1:29" ht="17.25" customHeight="1">
      <c r="A33" s="616" t="s">
        <v>615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>
        <f>3120*4</f>
        <v>12480</v>
      </c>
      <c r="O33" s="385"/>
      <c r="P33" s="780"/>
      <c r="Q33" s="388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68"/>
      <c r="AC33" s="543"/>
    </row>
    <row r="34" spans="1:29" ht="17.25" customHeight="1">
      <c r="A34" s="616" t="s">
        <v>515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385"/>
      <c r="P34" s="780"/>
      <c r="Q34" s="388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68"/>
      <c r="AC34" s="543"/>
    </row>
    <row r="35" spans="1:29" ht="17.25" customHeight="1">
      <c r="A35" s="616" t="s">
        <v>617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>
        <v>20000</v>
      </c>
      <c r="O35" s="385"/>
      <c r="P35" s="780"/>
      <c r="Q35" s="388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68"/>
      <c r="AC35" s="543"/>
    </row>
    <row r="36" spans="1:29" ht="17.25" customHeight="1">
      <c r="A36" s="616" t="s">
        <v>619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>
        <v>144000</v>
      </c>
      <c r="O36" s="385"/>
      <c r="P36" s="780"/>
      <c r="Q36" s="388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68"/>
      <c r="AC36" s="543"/>
    </row>
    <row r="37" spans="1:29" ht="17.25" customHeight="1">
      <c r="A37" s="61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385"/>
      <c r="P37" s="780"/>
      <c r="Q37" s="388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68"/>
      <c r="AC37" s="543"/>
    </row>
    <row r="38" spans="1:29" ht="17.25" customHeight="1">
      <c r="A38" s="61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385"/>
      <c r="P38" s="780"/>
      <c r="Q38" s="388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68"/>
      <c r="AC38" s="543"/>
    </row>
    <row r="39" spans="1:29" ht="17.25" customHeight="1">
      <c r="A39" s="61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385"/>
      <c r="P39" s="780"/>
      <c r="Q39" s="388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68"/>
      <c r="AC39" s="543"/>
    </row>
    <row r="40" spans="1:29" ht="17.25" customHeight="1">
      <c r="A40" s="616" t="s">
        <v>457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>
        <v>190000</v>
      </c>
      <c r="O40" s="385"/>
      <c r="P40" s="780"/>
      <c r="Q40" s="388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68"/>
      <c r="AC40" s="543"/>
    </row>
    <row r="41" spans="1:29" ht="17.25" customHeight="1">
      <c r="A41" s="616" t="s">
        <v>443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>
        <f>11553645-9348620</f>
        <v>2205025</v>
      </c>
      <c r="O41" s="47"/>
      <c r="P41" s="780"/>
      <c r="Q41" s="388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68"/>
      <c r="AC41" s="543"/>
    </row>
    <row r="42" spans="1:29" ht="17.25" customHeight="1">
      <c r="A42" s="44" t="s">
        <v>518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>
        <f>SUM(N43:N45)</f>
        <v>170000</v>
      </c>
      <c r="O42" s="47"/>
      <c r="P42" s="780"/>
      <c r="Q42" s="388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68"/>
      <c r="AC42" s="543"/>
    </row>
    <row r="43" spans="1:29" ht="17.25" customHeight="1">
      <c r="A43" s="616" t="s">
        <v>360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>
        <v>10000</v>
      </c>
      <c r="O43" s="47"/>
      <c r="P43" s="780"/>
      <c r="Q43" s="388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68"/>
      <c r="AC43" s="832"/>
    </row>
    <row r="44" spans="1:29" ht="17.25" customHeight="1">
      <c r="A44" s="616" t="s">
        <v>514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>
        <v>100000</v>
      </c>
      <c r="O44" s="47"/>
      <c r="P44" s="780"/>
      <c r="Q44" s="388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68"/>
      <c r="AC44" s="543"/>
    </row>
    <row r="45" spans="1:29" ht="17.25" customHeight="1">
      <c r="A45" s="616" t="s">
        <v>367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>
        <v>60000</v>
      </c>
      <c r="O45" s="47"/>
      <c r="P45" s="780"/>
      <c r="Q45" s="388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68"/>
      <c r="AC45" s="543"/>
    </row>
    <row r="46" spans="1:29" ht="17.25" customHeight="1">
      <c r="A46" s="61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385"/>
      <c r="P46" s="780"/>
      <c r="Q46" s="388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68"/>
      <c r="AC46" s="543"/>
    </row>
    <row r="47" spans="1:29" ht="17.25" customHeight="1">
      <c r="A47" s="61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385"/>
      <c r="P47" s="780"/>
      <c r="Q47" s="388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68"/>
      <c r="AC47" s="543"/>
    </row>
    <row r="48" spans="1:29" ht="17.25" customHeight="1">
      <c r="A48" s="44" t="s">
        <v>363</v>
      </c>
      <c r="B48" s="47"/>
      <c r="C48" s="47"/>
      <c r="D48" s="47"/>
      <c r="E48" s="47"/>
      <c r="F48" s="47"/>
      <c r="G48" s="47"/>
      <c r="H48" s="47"/>
      <c r="I48" s="47">
        <v>200000</v>
      </c>
      <c r="J48" s="47">
        <v>200000</v>
      </c>
      <c r="K48" s="47">
        <v>200000</v>
      </c>
      <c r="L48" s="47">
        <v>200000</v>
      </c>
      <c r="M48" s="47">
        <v>200000</v>
      </c>
      <c r="N48" s="47">
        <v>200000</v>
      </c>
      <c r="O48" s="385"/>
      <c r="P48" s="780"/>
      <c r="Q48" s="388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68"/>
      <c r="AC48" s="543"/>
    </row>
    <row r="49" spans="1:29" ht="17.25" customHeight="1">
      <c r="A49" s="44" t="s">
        <v>616</v>
      </c>
      <c r="B49" s="47"/>
      <c r="C49" s="47"/>
      <c r="D49" s="47"/>
      <c r="E49" s="47"/>
      <c r="F49" s="47"/>
      <c r="G49" s="47"/>
      <c r="H49" s="47"/>
      <c r="I49" s="47">
        <v>300000</v>
      </c>
      <c r="J49" s="47">
        <v>300000</v>
      </c>
      <c r="K49" s="47">
        <v>300000</v>
      </c>
      <c r="L49" s="47">
        <v>300000</v>
      </c>
      <c r="M49" s="47">
        <v>300000</v>
      </c>
      <c r="N49" s="47">
        <v>300000</v>
      </c>
      <c r="O49" s="385"/>
      <c r="P49" s="780"/>
      <c r="Q49" s="388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68"/>
      <c r="AC49" s="543"/>
    </row>
    <row r="50" spans="1:29" ht="17.25" customHeight="1">
      <c r="A50" s="44" t="s">
        <v>565</v>
      </c>
      <c r="B50" s="47"/>
      <c r="C50" s="47"/>
      <c r="D50" s="47"/>
      <c r="E50" s="47"/>
      <c r="F50" s="47"/>
      <c r="G50" s="47"/>
      <c r="H50" s="47"/>
      <c r="I50" s="47"/>
      <c r="J50" s="47">
        <v>600000</v>
      </c>
      <c r="K50" s="47">
        <v>600000</v>
      </c>
      <c r="L50" s="47">
        <v>600000</v>
      </c>
      <c r="M50" s="47"/>
      <c r="N50" s="47"/>
      <c r="O50" s="385"/>
      <c r="P50" s="780"/>
      <c r="Q50" s="388"/>
      <c r="R50" s="50"/>
      <c r="S50" s="50"/>
      <c r="T50" s="50"/>
      <c r="U50" s="50"/>
      <c r="V50" s="50"/>
      <c r="W50" s="50"/>
      <c r="X50" s="50"/>
      <c r="Y50" s="50"/>
      <c r="Z50" s="47">
        <v>600000</v>
      </c>
      <c r="AA50" s="47">
        <v>600000</v>
      </c>
      <c r="AB50" s="68"/>
      <c r="AC50" s="543"/>
    </row>
    <row r="51" spans="1:29" ht="17.25" customHeight="1">
      <c r="A51" s="44" t="s">
        <v>566</v>
      </c>
      <c r="B51" s="47"/>
      <c r="C51" s="47"/>
      <c r="D51" s="47"/>
      <c r="E51" s="47"/>
      <c r="F51" s="47"/>
      <c r="G51" s="47"/>
      <c r="H51" s="47"/>
      <c r="I51" s="47"/>
      <c r="J51" s="47">
        <v>600000</v>
      </c>
      <c r="K51" s="47">
        <v>600000</v>
      </c>
      <c r="L51" s="47">
        <v>600000</v>
      </c>
      <c r="M51" s="47"/>
      <c r="N51" s="47"/>
      <c r="O51" s="385"/>
      <c r="P51" s="780"/>
      <c r="Q51" s="388"/>
      <c r="R51" s="50"/>
      <c r="S51" s="50"/>
      <c r="T51" s="50"/>
      <c r="U51" s="50"/>
      <c r="V51" s="50"/>
      <c r="W51" s="50"/>
      <c r="X51" s="50"/>
      <c r="Y51" s="50"/>
      <c r="Z51" s="47">
        <v>600000</v>
      </c>
      <c r="AA51" s="47">
        <v>600000</v>
      </c>
      <c r="AB51" s="68"/>
      <c r="AC51" s="543"/>
    </row>
    <row r="52" spans="1:29" ht="17.25" customHeight="1">
      <c r="A52" s="44" t="s">
        <v>567</v>
      </c>
      <c r="B52" s="47"/>
      <c r="C52" s="47"/>
      <c r="D52" s="47"/>
      <c r="E52" s="47"/>
      <c r="F52" s="47"/>
      <c r="G52" s="47"/>
      <c r="H52" s="47"/>
      <c r="I52" s="47"/>
      <c r="J52" s="47">
        <v>600000</v>
      </c>
      <c r="K52" s="47">
        <v>600000</v>
      </c>
      <c r="L52" s="47">
        <v>600000</v>
      </c>
      <c r="M52" s="47"/>
      <c r="N52" s="47"/>
      <c r="O52" s="385"/>
      <c r="P52" s="780"/>
      <c r="Q52" s="388"/>
      <c r="R52" s="50"/>
      <c r="S52" s="50"/>
      <c r="T52" s="50"/>
      <c r="U52" s="50"/>
      <c r="V52" s="50"/>
      <c r="W52" s="50"/>
      <c r="X52" s="50"/>
      <c r="Y52" s="50"/>
      <c r="Z52" s="47">
        <v>600000</v>
      </c>
      <c r="AA52" s="47">
        <v>600000</v>
      </c>
      <c r="AB52" s="68"/>
      <c r="AC52" s="543"/>
    </row>
    <row r="53" spans="1:29" ht="17.25" customHeight="1">
      <c r="A53" s="44" t="s">
        <v>575</v>
      </c>
      <c r="B53" s="47"/>
      <c r="C53" s="47"/>
      <c r="D53" s="47"/>
      <c r="E53" s="47"/>
      <c r="F53" s="47"/>
      <c r="G53" s="47"/>
      <c r="H53" s="47"/>
      <c r="I53" s="47"/>
      <c r="J53" s="47"/>
      <c r="K53" s="47">
        <v>50000</v>
      </c>
      <c r="L53" s="47">
        <v>50000</v>
      </c>
      <c r="M53" s="47">
        <v>50000</v>
      </c>
      <c r="N53" s="47">
        <v>50000</v>
      </c>
      <c r="O53" s="385"/>
      <c r="P53" s="385"/>
      <c r="Q53" s="388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68"/>
      <c r="AC53" s="543"/>
    </row>
    <row r="54" spans="1:29" ht="17.25" customHeight="1">
      <c r="A54" s="44" t="s">
        <v>576</v>
      </c>
      <c r="B54" s="47"/>
      <c r="C54" s="47"/>
      <c r="D54" s="47"/>
      <c r="E54" s="47"/>
      <c r="F54" s="47"/>
      <c r="G54" s="47"/>
      <c r="H54" s="47"/>
      <c r="I54" s="47"/>
      <c r="J54" s="47"/>
      <c r="K54" s="47">
        <v>50000</v>
      </c>
      <c r="L54" s="47">
        <v>50000</v>
      </c>
      <c r="M54" s="47">
        <v>50000</v>
      </c>
      <c r="N54" s="47">
        <v>50000</v>
      </c>
      <c r="O54" s="385"/>
      <c r="P54" s="385"/>
      <c r="Q54" s="388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68"/>
      <c r="AC54" s="543"/>
    </row>
    <row r="55" spans="1:29" ht="39.75" customHeight="1">
      <c r="A55" s="44" t="s">
        <v>620</v>
      </c>
      <c r="B55" s="47"/>
      <c r="C55" s="47"/>
      <c r="D55" s="47"/>
      <c r="E55" s="47"/>
      <c r="F55" s="47"/>
      <c r="G55" s="47"/>
      <c r="H55" s="47"/>
      <c r="I55" s="47"/>
      <c r="J55" s="47"/>
      <c r="K55" s="47">
        <v>53640</v>
      </c>
      <c r="L55" s="47">
        <v>53640</v>
      </c>
      <c r="M55" s="47">
        <v>53640</v>
      </c>
      <c r="N55" s="47">
        <v>53640</v>
      </c>
      <c r="O55" s="385"/>
      <c r="P55" s="780"/>
      <c r="Q55" s="388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68"/>
      <c r="AC55" s="543"/>
    </row>
    <row r="56" spans="1:29" ht="36.75" customHeight="1">
      <c r="A56" s="44" t="s">
        <v>598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385"/>
      <c r="P56" s="780"/>
      <c r="Q56" s="388"/>
      <c r="R56" s="50"/>
      <c r="S56" s="50"/>
      <c r="T56" s="50"/>
      <c r="U56" s="50"/>
      <c r="V56" s="50"/>
      <c r="W56" s="50"/>
      <c r="X56" s="50"/>
      <c r="Y56" s="50"/>
      <c r="Z56" s="50">
        <v>70000</v>
      </c>
      <c r="AA56" s="50">
        <v>70000</v>
      </c>
      <c r="AB56" s="68"/>
      <c r="AC56" s="543"/>
    </row>
    <row r="57" spans="1:29" s="19" customFormat="1" ht="18">
      <c r="A57" s="44" t="s">
        <v>612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>
        <v>20000</v>
      </c>
      <c r="O57" s="385"/>
      <c r="P57" s="780"/>
      <c r="Q57" s="389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68"/>
      <c r="AC57" s="544"/>
    </row>
    <row r="58" spans="1:29" ht="18">
      <c r="A58" s="43" t="s">
        <v>368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>
        <v>70000</v>
      </c>
      <c r="O58" s="386"/>
      <c r="P58" s="780"/>
      <c r="Q58" s="389"/>
      <c r="R58" s="47"/>
      <c r="S58" s="47"/>
      <c r="T58" s="47"/>
      <c r="U58" s="47"/>
      <c r="V58" s="50"/>
      <c r="W58" s="50"/>
      <c r="X58" s="50"/>
      <c r="Y58" s="50"/>
      <c r="Z58" s="50"/>
      <c r="AA58" s="50"/>
      <c r="AB58" s="49"/>
      <c r="AC58" s="543"/>
    </row>
    <row r="59" spans="1:29" ht="18">
      <c r="A59" s="43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386"/>
      <c r="P59" s="780"/>
      <c r="Q59" s="389"/>
      <c r="R59" s="47"/>
      <c r="S59" s="47"/>
      <c r="T59" s="47"/>
      <c r="U59" s="47"/>
      <c r="V59" s="50"/>
      <c r="W59" s="50"/>
      <c r="X59" s="50"/>
      <c r="Y59" s="50"/>
      <c r="Z59" s="50"/>
      <c r="AA59" s="50"/>
      <c r="AB59" s="49"/>
      <c r="AC59" s="543"/>
    </row>
    <row r="60" spans="1:29" ht="23.25" customHeight="1" thickBot="1">
      <c r="A60" s="45" t="s">
        <v>1</v>
      </c>
      <c r="B60" s="51">
        <f aca="true" t="shared" si="0" ref="B60:I60">SUM(B10:B59)</f>
        <v>0</v>
      </c>
      <c r="C60" s="51">
        <f t="shared" si="0"/>
        <v>0</v>
      </c>
      <c r="D60" s="51">
        <f t="shared" si="0"/>
        <v>0</v>
      </c>
      <c r="E60" s="51">
        <f t="shared" si="0"/>
        <v>0</v>
      </c>
      <c r="F60" s="51">
        <f t="shared" si="0"/>
        <v>0</v>
      </c>
      <c r="G60" s="51">
        <f t="shared" si="0"/>
        <v>0</v>
      </c>
      <c r="H60" s="51">
        <f t="shared" si="0"/>
        <v>0</v>
      </c>
      <c r="I60" s="51">
        <f t="shared" si="0"/>
        <v>11431025</v>
      </c>
      <c r="J60" s="51">
        <f>SUM(J10:J59)</f>
        <v>13421525</v>
      </c>
      <c r="K60" s="51">
        <f>SUM(K10:K59)</f>
        <v>13321165</v>
      </c>
      <c r="L60" s="51">
        <f>SUM(L10:L59)</f>
        <v>13321165</v>
      </c>
      <c r="M60" s="51">
        <f>SUM(M10:M59)</f>
        <v>11521165</v>
      </c>
      <c r="N60" s="51">
        <f>SUM(N10:N19,N42,N48:N59)</f>
        <v>11553645</v>
      </c>
      <c r="O60" s="51">
        <f>SUM(O10:O19,O42,O48:O54)</f>
        <v>0</v>
      </c>
      <c r="P60" s="785">
        <f>M60/L60</f>
        <v>0.8648766830828986</v>
      </c>
      <c r="Q60" s="782">
        <f aca="true" t="shared" si="1" ref="Q60:AB60">SUM(Q10:Q59)</f>
        <v>0</v>
      </c>
      <c r="R60" s="51">
        <f t="shared" si="1"/>
        <v>0</v>
      </c>
      <c r="S60" s="51">
        <f t="shared" si="1"/>
        <v>0</v>
      </c>
      <c r="T60" s="51">
        <f t="shared" si="1"/>
        <v>0</v>
      </c>
      <c r="U60" s="51">
        <f t="shared" si="1"/>
        <v>0</v>
      </c>
      <c r="V60" s="51">
        <f t="shared" si="1"/>
        <v>3000000</v>
      </c>
      <c r="W60" s="51">
        <f t="shared" si="1"/>
        <v>3000000</v>
      </c>
      <c r="X60" s="51">
        <f t="shared" si="1"/>
        <v>3000000</v>
      </c>
      <c r="Y60" s="51">
        <f t="shared" si="1"/>
        <v>3000000</v>
      </c>
      <c r="Z60" s="51">
        <f>SUM(Z10:Z59)</f>
        <v>4870000</v>
      </c>
      <c r="AA60" s="51">
        <f>SUM(AA10:AA59)</f>
        <v>4870000</v>
      </c>
      <c r="AB60" s="51" t="e">
        <f t="shared" si="1"/>
        <v>#DIV/0!</v>
      </c>
      <c r="AC60" s="781"/>
    </row>
    <row r="61" spans="1:28" ht="15">
      <c r="A61" s="42"/>
      <c r="B61" s="14"/>
      <c r="C61" s="14"/>
      <c r="D61" s="14"/>
      <c r="E61" s="14"/>
      <c r="F61" s="14"/>
      <c r="G61" s="14"/>
      <c r="H61" s="14"/>
      <c r="I61" s="287"/>
      <c r="J61" s="287"/>
      <c r="K61" s="287"/>
      <c r="L61" s="287"/>
      <c r="M61" s="953"/>
      <c r="N61" s="287"/>
      <c r="O61" s="287"/>
      <c r="P61" s="287"/>
      <c r="Q61" s="287"/>
      <c r="R61" s="14"/>
      <c r="S61" s="14"/>
      <c r="T61" s="14"/>
      <c r="U61" s="14"/>
      <c r="V61" s="287"/>
      <c r="Z61" s="383"/>
      <c r="AA61" s="383"/>
      <c r="AB61" s="383"/>
    </row>
    <row r="62" spans="1:22" ht="14.25">
      <c r="A62" s="1295" t="s">
        <v>222</v>
      </c>
      <c r="B62" s="1295"/>
      <c r="C62" s="1295"/>
      <c r="D62" s="1295"/>
      <c r="E62" s="1295"/>
      <c r="F62" s="1295"/>
      <c r="G62" s="1295"/>
      <c r="H62" s="1295"/>
      <c r="I62" s="1295"/>
      <c r="J62" s="1295"/>
      <c r="K62" s="1295"/>
      <c r="L62" s="1295"/>
      <c r="M62" s="1295"/>
      <c r="N62" s="1295"/>
      <c r="O62" s="1295"/>
      <c r="P62" s="1295"/>
      <c r="Q62" s="1295"/>
      <c r="R62" s="1295"/>
      <c r="S62" s="1295"/>
      <c r="T62" s="1295"/>
      <c r="U62" s="1295"/>
      <c r="V62" s="1295"/>
    </row>
    <row r="63" ht="13.5" thickBot="1">
      <c r="V63" s="12"/>
    </row>
    <row r="64" spans="1:29" ht="29.25" customHeight="1">
      <c r="A64" s="1283" t="s">
        <v>221</v>
      </c>
      <c r="B64" s="1285" t="s">
        <v>23</v>
      </c>
      <c r="C64" s="1286"/>
      <c r="D64" s="1286"/>
      <c r="E64" s="1286"/>
      <c r="F64" s="1286"/>
      <c r="G64" s="1286"/>
      <c r="H64" s="1286"/>
      <c r="I64" s="1286"/>
      <c r="J64" s="1286"/>
      <c r="K64" s="1286"/>
      <c r="L64" s="1286"/>
      <c r="M64" s="1286"/>
      <c r="N64" s="1286"/>
      <c r="O64" s="1286"/>
      <c r="P64" s="1286"/>
      <c r="Q64" s="1287" t="s">
        <v>24</v>
      </c>
      <c r="R64" s="1288"/>
      <c r="S64" s="1288"/>
      <c r="T64" s="1288"/>
      <c r="U64" s="1288"/>
      <c r="V64" s="1288"/>
      <c r="W64" s="1288"/>
      <c r="X64" s="1288"/>
      <c r="Y64" s="1288"/>
      <c r="Z64" s="1288"/>
      <c r="AA64" s="1285"/>
      <c r="AB64" s="1289"/>
      <c r="AC64" s="543"/>
    </row>
    <row r="65" spans="1:29" ht="29.25" customHeight="1">
      <c r="A65" s="1284"/>
      <c r="B65" s="1290" t="s">
        <v>63</v>
      </c>
      <c r="C65" s="1291"/>
      <c r="D65" s="1291"/>
      <c r="E65" s="1291"/>
      <c r="F65" s="1291"/>
      <c r="G65" s="1291"/>
      <c r="H65" s="1292"/>
      <c r="I65" s="1290" t="s">
        <v>64</v>
      </c>
      <c r="J65" s="1291"/>
      <c r="K65" s="1291"/>
      <c r="L65" s="1291"/>
      <c r="M65" s="1291"/>
      <c r="N65" s="1291"/>
      <c r="O65" s="1291"/>
      <c r="P65" s="1291"/>
      <c r="Q65" s="1293" t="s">
        <v>63</v>
      </c>
      <c r="R65" s="1294"/>
      <c r="S65" s="1294"/>
      <c r="T65" s="1294"/>
      <c r="U65" s="1294"/>
      <c r="V65" s="1294" t="s">
        <v>64</v>
      </c>
      <c r="W65" s="1294"/>
      <c r="X65" s="1294"/>
      <c r="Y65" s="1294"/>
      <c r="Z65" s="1294"/>
      <c r="AA65" s="1290"/>
      <c r="AB65" s="1296"/>
      <c r="AC65" s="543"/>
    </row>
    <row r="66" spans="1:29" ht="29.25" customHeight="1">
      <c r="A66" s="300"/>
      <c r="B66" s="301" t="s">
        <v>230</v>
      </c>
      <c r="C66" s="301" t="s">
        <v>228</v>
      </c>
      <c r="D66" s="545" t="s">
        <v>233</v>
      </c>
      <c r="E66" s="301" t="s">
        <v>235</v>
      </c>
      <c r="F66" s="301" t="s">
        <v>450</v>
      </c>
      <c r="G66" s="301" t="s">
        <v>455</v>
      </c>
      <c r="H66" s="301" t="s">
        <v>238</v>
      </c>
      <c r="I66" s="301" t="s">
        <v>230</v>
      </c>
      <c r="J66" s="825" t="s">
        <v>228</v>
      </c>
      <c r="K66" s="830" t="s">
        <v>233</v>
      </c>
      <c r="L66" s="831" t="s">
        <v>235</v>
      </c>
      <c r="M66" s="301" t="s">
        <v>450</v>
      </c>
      <c r="N66" s="856" t="s">
        <v>455</v>
      </c>
      <c r="O66" s="856"/>
      <c r="P66" s="831" t="s">
        <v>238</v>
      </c>
      <c r="Q66" s="826" t="s">
        <v>230</v>
      </c>
      <c r="R66" s="301" t="s">
        <v>228</v>
      </c>
      <c r="S66" s="545" t="s">
        <v>233</v>
      </c>
      <c r="T66" s="301" t="s">
        <v>235</v>
      </c>
      <c r="U66" s="301" t="s">
        <v>404</v>
      </c>
      <c r="V66" s="301" t="s">
        <v>230</v>
      </c>
      <c r="W66" s="301" t="s">
        <v>228</v>
      </c>
      <c r="X66" s="545" t="s">
        <v>233</v>
      </c>
      <c r="Y66" s="301" t="s">
        <v>235</v>
      </c>
      <c r="Z66" s="301" t="s">
        <v>450</v>
      </c>
      <c r="AA66" s="856" t="s">
        <v>455</v>
      </c>
      <c r="AB66" s="301" t="s">
        <v>238</v>
      </c>
      <c r="AC66" s="543"/>
    </row>
    <row r="67" spans="1:29" ht="30.75">
      <c r="A67" s="43" t="s">
        <v>244</v>
      </c>
      <c r="B67" s="50">
        <v>348530</v>
      </c>
      <c r="C67" s="50">
        <v>348530</v>
      </c>
      <c r="D67" s="50">
        <v>348530</v>
      </c>
      <c r="E67" s="50">
        <v>348530</v>
      </c>
      <c r="F67" s="50">
        <v>348530</v>
      </c>
      <c r="G67" s="50">
        <v>348660</v>
      </c>
      <c r="H67" s="780"/>
      <c r="I67" s="50"/>
      <c r="J67" s="50"/>
      <c r="K67" s="50"/>
      <c r="L67" s="50"/>
      <c r="M67" s="386"/>
      <c r="N67" s="386"/>
      <c r="O67" s="386"/>
      <c r="P67" s="386"/>
      <c r="Q67" s="389"/>
      <c r="R67" s="47"/>
      <c r="S67" s="47"/>
      <c r="T67" s="47"/>
      <c r="U67" s="47"/>
      <c r="V67" s="50"/>
      <c r="W67" s="50"/>
      <c r="X67" s="50"/>
      <c r="Y67" s="50"/>
      <c r="Z67" s="47"/>
      <c r="AA67" s="385"/>
      <c r="AB67" s="68"/>
      <c r="AC67" s="543"/>
    </row>
    <row r="68" spans="1:29" ht="18" hidden="1">
      <c r="A68" s="43" t="s">
        <v>456</v>
      </c>
      <c r="B68" s="69"/>
      <c r="C68" s="69"/>
      <c r="D68" s="69"/>
      <c r="E68" s="69"/>
      <c r="F68" s="69"/>
      <c r="G68" s="69"/>
      <c r="H68" s="780"/>
      <c r="I68" s="69"/>
      <c r="J68" s="69"/>
      <c r="K68" s="69"/>
      <c r="L68" s="69"/>
      <c r="M68" s="390"/>
      <c r="N68" s="954"/>
      <c r="O68" s="951"/>
      <c r="P68" s="390"/>
      <c r="Q68" s="389"/>
      <c r="R68" s="47"/>
      <c r="S68" s="47"/>
      <c r="T68" s="47"/>
      <c r="U68" s="47"/>
      <c r="V68" s="50"/>
      <c r="W68" s="50"/>
      <c r="X68" s="50"/>
      <c r="Y68" s="50"/>
      <c r="Z68" s="47"/>
      <c r="AA68" s="385"/>
      <c r="AB68" s="68"/>
      <c r="AC68" s="543"/>
    </row>
    <row r="69" spans="1:29" ht="18" hidden="1">
      <c r="A69" s="70" t="s">
        <v>513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955"/>
      <c r="O69" s="952"/>
      <c r="P69" s="780"/>
      <c r="Q69" s="389"/>
      <c r="R69" s="47"/>
      <c r="S69" s="47"/>
      <c r="T69" s="47"/>
      <c r="U69" s="47"/>
      <c r="V69" s="50"/>
      <c r="W69" s="50"/>
      <c r="X69" s="50"/>
      <c r="Y69" s="50"/>
      <c r="Z69" s="47"/>
      <c r="AA69" s="385"/>
      <c r="AB69" s="68"/>
      <c r="AC69" s="543"/>
    </row>
    <row r="70" spans="1:29" ht="18">
      <c r="A70" s="70" t="s">
        <v>512</v>
      </c>
      <c r="B70" s="69"/>
      <c r="C70" s="69"/>
      <c r="D70" s="69"/>
      <c r="E70" s="69"/>
      <c r="F70" s="69"/>
      <c r="G70" s="69"/>
      <c r="H70" s="69"/>
      <c r="I70" s="69">
        <v>868968</v>
      </c>
      <c r="J70" s="69">
        <v>868968</v>
      </c>
      <c r="K70" s="69">
        <v>868968</v>
      </c>
      <c r="L70" s="69">
        <v>868968</v>
      </c>
      <c r="M70" s="69">
        <v>868968</v>
      </c>
      <c r="N70" s="955">
        <f>72414*8+80460*4</f>
        <v>901152</v>
      </c>
      <c r="O70" s="952"/>
      <c r="P70" s="780"/>
      <c r="Q70" s="389"/>
      <c r="R70" s="47"/>
      <c r="S70" s="47"/>
      <c r="T70" s="47"/>
      <c r="U70" s="47"/>
      <c r="V70" s="50"/>
      <c r="W70" s="50"/>
      <c r="X70" s="50"/>
      <c r="Y70" s="50"/>
      <c r="Z70" s="47"/>
      <c r="AA70" s="385"/>
      <c r="AB70" s="68"/>
      <c r="AC70" s="543"/>
    </row>
    <row r="71" spans="1:29" ht="18">
      <c r="A71" s="70" t="s">
        <v>548</v>
      </c>
      <c r="B71" s="69"/>
      <c r="C71" s="69"/>
      <c r="D71" s="69"/>
      <c r="E71" s="69"/>
      <c r="F71" s="69"/>
      <c r="G71" s="69"/>
      <c r="H71" s="69"/>
      <c r="I71" s="69">
        <v>308914</v>
      </c>
      <c r="J71" s="69">
        <v>308914</v>
      </c>
      <c r="K71" s="69">
        <v>308914</v>
      </c>
      <c r="L71" s="69">
        <v>308914</v>
      </c>
      <c r="M71" s="69">
        <v>308914</v>
      </c>
      <c r="N71" s="955">
        <f>154458+154457</f>
        <v>308915</v>
      </c>
      <c r="O71" s="952"/>
      <c r="P71" s="780"/>
      <c r="Q71" s="389"/>
      <c r="R71" s="47"/>
      <c r="S71" s="47"/>
      <c r="T71" s="47"/>
      <c r="U71" s="47"/>
      <c r="V71" s="50"/>
      <c r="W71" s="50"/>
      <c r="X71" s="50"/>
      <c r="Y71" s="50"/>
      <c r="Z71" s="47"/>
      <c r="AA71" s="385"/>
      <c r="AB71" s="68"/>
      <c r="AC71" s="543"/>
    </row>
    <row r="72" spans="1:29" ht="18">
      <c r="A72" s="70" t="s">
        <v>549</v>
      </c>
      <c r="B72" s="69"/>
      <c r="C72" s="69"/>
      <c r="D72" s="69"/>
      <c r="E72" s="69"/>
      <c r="F72" s="69"/>
      <c r="G72" s="69"/>
      <c r="H72" s="69"/>
      <c r="I72" s="69">
        <v>53640</v>
      </c>
      <c r="J72" s="69">
        <v>53640</v>
      </c>
      <c r="K72" s="69">
        <v>53640</v>
      </c>
      <c r="L72" s="69">
        <v>53640</v>
      </c>
      <c r="M72" s="69">
        <v>53640</v>
      </c>
      <c r="N72" s="69">
        <v>53640</v>
      </c>
      <c r="O72" s="952"/>
      <c r="P72" s="780"/>
      <c r="Q72" s="389"/>
      <c r="R72" s="47"/>
      <c r="S72" s="47"/>
      <c r="T72" s="47"/>
      <c r="U72" s="47"/>
      <c r="V72" s="50"/>
      <c r="W72" s="50"/>
      <c r="X72" s="50"/>
      <c r="Y72" s="50"/>
      <c r="Z72" s="47"/>
      <c r="AA72" s="385"/>
      <c r="AB72" s="68"/>
      <c r="AC72" s="543"/>
    </row>
    <row r="73" spans="1:29" ht="18" hidden="1">
      <c r="A73" s="70" t="s">
        <v>224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390"/>
      <c r="P73" s="780"/>
      <c r="Q73" s="389"/>
      <c r="R73" s="47"/>
      <c r="S73" s="47"/>
      <c r="T73" s="47"/>
      <c r="U73" s="47"/>
      <c r="V73" s="50"/>
      <c r="W73" s="50"/>
      <c r="X73" s="50"/>
      <c r="Y73" s="50"/>
      <c r="Z73" s="47"/>
      <c r="AA73" s="385"/>
      <c r="AB73" s="68"/>
      <c r="AC73" s="543"/>
    </row>
    <row r="74" spans="1:29" ht="18">
      <c r="A74" s="70" t="s">
        <v>225</v>
      </c>
      <c r="B74" s="69"/>
      <c r="C74" s="69"/>
      <c r="D74" s="69"/>
      <c r="E74" s="69"/>
      <c r="F74" s="69"/>
      <c r="G74" s="69"/>
      <c r="H74" s="69"/>
      <c r="I74" s="69">
        <v>86670</v>
      </c>
      <c r="J74" s="69">
        <v>86670</v>
      </c>
      <c r="K74" s="69">
        <v>86670</v>
      </c>
      <c r="L74" s="69">
        <v>86670</v>
      </c>
      <c r="M74" s="69">
        <v>86670</v>
      </c>
      <c r="N74" s="69">
        <v>66485</v>
      </c>
      <c r="O74" s="390"/>
      <c r="P74" s="780"/>
      <c r="Q74" s="389"/>
      <c r="R74" s="47"/>
      <c r="S74" s="47"/>
      <c r="T74" s="47"/>
      <c r="U74" s="47"/>
      <c r="V74" s="50"/>
      <c r="W74" s="50"/>
      <c r="X74" s="50"/>
      <c r="Y74" s="50"/>
      <c r="Z74" s="47"/>
      <c r="AA74" s="385"/>
      <c r="AB74" s="68"/>
      <c r="AC74" s="543"/>
    </row>
    <row r="75" spans="1:29" ht="18">
      <c r="A75" s="70" t="s">
        <v>226</v>
      </c>
      <c r="B75" s="69"/>
      <c r="C75" s="69"/>
      <c r="D75" s="69"/>
      <c r="E75" s="69"/>
      <c r="F75" s="69"/>
      <c r="G75" s="69"/>
      <c r="H75" s="69"/>
      <c r="I75" s="69">
        <v>54900</v>
      </c>
      <c r="J75" s="69">
        <v>54900</v>
      </c>
      <c r="K75" s="69">
        <v>0</v>
      </c>
      <c r="L75" s="69">
        <v>0</v>
      </c>
      <c r="M75" s="69">
        <v>0</v>
      </c>
      <c r="N75" s="69"/>
      <c r="O75" s="390"/>
      <c r="P75" s="780"/>
      <c r="Q75" s="389"/>
      <c r="R75" s="47"/>
      <c r="S75" s="47"/>
      <c r="T75" s="47"/>
      <c r="U75" s="47"/>
      <c r="V75" s="50"/>
      <c r="W75" s="50"/>
      <c r="X75" s="50"/>
      <c r="Y75" s="50"/>
      <c r="Z75" s="47"/>
      <c r="AA75" s="385"/>
      <c r="AB75" s="68"/>
      <c r="AC75" s="543"/>
    </row>
    <row r="76" spans="1:29" ht="18" hidden="1">
      <c r="A76" s="70" t="s">
        <v>227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390"/>
      <c r="P76" s="780"/>
      <c r="Q76" s="389"/>
      <c r="R76" s="47"/>
      <c r="S76" s="47"/>
      <c r="T76" s="47"/>
      <c r="U76" s="47"/>
      <c r="V76" s="50"/>
      <c r="W76" s="50"/>
      <c r="X76" s="50"/>
      <c r="Y76" s="50"/>
      <c r="Z76" s="47"/>
      <c r="AA76" s="385"/>
      <c r="AB76" s="68"/>
      <c r="AC76" s="543"/>
    </row>
    <row r="77" spans="1:29" ht="30.75">
      <c r="A77" s="70" t="s">
        <v>550</v>
      </c>
      <c r="B77" s="69"/>
      <c r="C77" s="69"/>
      <c r="D77" s="69"/>
      <c r="E77" s="69"/>
      <c r="F77" s="69"/>
      <c r="G77" s="69"/>
      <c r="H77" s="69"/>
      <c r="I77" s="69">
        <f aca="true" t="shared" si="2" ref="I77:N77">241290+241380</f>
        <v>482670</v>
      </c>
      <c r="J77" s="69">
        <f t="shared" si="2"/>
        <v>482670</v>
      </c>
      <c r="K77" s="69">
        <f t="shared" si="2"/>
        <v>482670</v>
      </c>
      <c r="L77" s="69">
        <f t="shared" si="2"/>
        <v>482670</v>
      </c>
      <c r="M77" s="69">
        <f t="shared" si="2"/>
        <v>482670</v>
      </c>
      <c r="N77" s="69">
        <f t="shared" si="2"/>
        <v>482670</v>
      </c>
      <c r="O77" s="390"/>
      <c r="P77" s="780"/>
      <c r="Q77" s="389"/>
      <c r="R77" s="47"/>
      <c r="S77" s="47"/>
      <c r="T77" s="47"/>
      <c r="U77" s="47"/>
      <c r="V77" s="50"/>
      <c r="W77" s="50"/>
      <c r="X77" s="50"/>
      <c r="Y77" s="50"/>
      <c r="Z77" s="47"/>
      <c r="AA77" s="385"/>
      <c r="AB77" s="68"/>
      <c r="AC77" s="543"/>
    </row>
    <row r="78" spans="1:29" ht="39" customHeight="1">
      <c r="A78" s="70" t="s">
        <v>596</v>
      </c>
      <c r="B78" s="69">
        <v>117165825</v>
      </c>
      <c r="C78" s="69">
        <v>117165825</v>
      </c>
      <c r="D78" s="69">
        <v>117165825</v>
      </c>
      <c r="E78" s="69">
        <v>117165825</v>
      </c>
      <c r="F78" s="69">
        <f>1009434+117165825+4427160</f>
        <v>122602419</v>
      </c>
      <c r="G78" s="69">
        <f>130151429+7855584</f>
        <v>138007013</v>
      </c>
      <c r="H78" s="780"/>
      <c r="I78" s="69"/>
      <c r="J78" s="69"/>
      <c r="K78" s="69"/>
      <c r="L78" s="69"/>
      <c r="M78" s="69"/>
      <c r="N78" s="69"/>
      <c r="O78" s="390"/>
      <c r="P78" s="390"/>
      <c r="Q78" s="389"/>
      <c r="R78" s="47"/>
      <c r="S78" s="47"/>
      <c r="T78" s="47"/>
      <c r="U78" s="47"/>
      <c r="V78" s="50"/>
      <c r="W78" s="50"/>
      <c r="X78" s="50"/>
      <c r="Y78" s="50"/>
      <c r="Z78" s="47"/>
      <c r="AA78" s="385"/>
      <c r="AB78" s="68"/>
      <c r="AC78" s="543"/>
    </row>
    <row r="79" spans="1:29" ht="39" customHeight="1">
      <c r="A79" s="70" t="s">
        <v>597</v>
      </c>
      <c r="B79" s="69"/>
      <c r="C79" s="69"/>
      <c r="D79" s="69"/>
      <c r="E79" s="69"/>
      <c r="F79" s="69">
        <v>189763</v>
      </c>
      <c r="G79" s="69">
        <v>189763</v>
      </c>
      <c r="H79" s="1064"/>
      <c r="I79" s="69"/>
      <c r="J79" s="69"/>
      <c r="K79" s="69"/>
      <c r="L79" s="69"/>
      <c r="M79" s="69"/>
      <c r="N79" s="69"/>
      <c r="O79" s="390"/>
      <c r="P79" s="390"/>
      <c r="Q79" s="389"/>
      <c r="R79" s="47"/>
      <c r="S79" s="47"/>
      <c r="T79" s="47"/>
      <c r="U79" s="47"/>
      <c r="V79" s="50"/>
      <c r="W79" s="50"/>
      <c r="X79" s="50"/>
      <c r="Y79" s="50"/>
      <c r="Z79" s="47"/>
      <c r="AA79" s="385"/>
      <c r="AB79" s="68"/>
      <c r="AC79" s="543"/>
    </row>
    <row r="80" spans="1:29" ht="18">
      <c r="A80" s="70" t="s">
        <v>243</v>
      </c>
      <c r="B80" s="69"/>
      <c r="C80" s="69"/>
      <c r="D80" s="69"/>
      <c r="E80" s="69"/>
      <c r="F80" s="69"/>
      <c r="G80" s="69"/>
      <c r="H80" s="69"/>
      <c r="I80" s="69">
        <v>12000</v>
      </c>
      <c r="J80" s="69">
        <v>12000</v>
      </c>
      <c r="K80" s="69">
        <v>12000</v>
      </c>
      <c r="L80" s="69">
        <v>12000</v>
      </c>
      <c r="M80" s="69">
        <v>12000</v>
      </c>
      <c r="N80" s="69"/>
      <c r="O80" s="390"/>
      <c r="P80" s="390"/>
      <c r="Q80" s="389"/>
      <c r="R80" s="47"/>
      <c r="S80" s="47"/>
      <c r="T80" s="47"/>
      <c r="U80" s="47"/>
      <c r="V80" s="50"/>
      <c r="W80" s="50"/>
      <c r="X80" s="50"/>
      <c r="Y80" s="50"/>
      <c r="Z80" s="47"/>
      <c r="AA80" s="385"/>
      <c r="AB80" s="68"/>
      <c r="AC80" s="543"/>
    </row>
    <row r="81" spans="1:29" ht="18">
      <c r="A81" s="70" t="s">
        <v>611</v>
      </c>
      <c r="B81" s="69"/>
      <c r="C81" s="69"/>
      <c r="D81" s="69"/>
      <c r="E81" s="69"/>
      <c r="F81" s="69"/>
      <c r="G81" s="69">
        <v>530000</v>
      </c>
      <c r="H81" s="69"/>
      <c r="I81" s="69"/>
      <c r="J81" s="69"/>
      <c r="K81" s="69"/>
      <c r="L81" s="69"/>
      <c r="M81" s="69"/>
      <c r="N81" s="69"/>
      <c r="O81" s="390"/>
      <c r="P81" s="390"/>
      <c r="Q81" s="389"/>
      <c r="R81" s="47"/>
      <c r="S81" s="47"/>
      <c r="T81" s="47"/>
      <c r="U81" s="47"/>
      <c r="V81" s="50"/>
      <c r="W81" s="50"/>
      <c r="X81" s="50"/>
      <c r="Y81" s="50"/>
      <c r="Z81" s="47"/>
      <c r="AA81" s="385"/>
      <c r="AB81" s="68"/>
      <c r="AC81" s="543"/>
    </row>
    <row r="82" spans="1:29" ht="47.25" customHeight="1" hidden="1">
      <c r="A82" s="70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390"/>
      <c r="P82" s="390"/>
      <c r="Q82" s="389"/>
      <c r="R82" s="47"/>
      <c r="S82" s="47"/>
      <c r="T82" s="47"/>
      <c r="U82" s="47"/>
      <c r="V82" s="50"/>
      <c r="W82" s="50"/>
      <c r="X82" s="50"/>
      <c r="Y82" s="50"/>
      <c r="Z82" s="47"/>
      <c r="AA82" s="385"/>
      <c r="AB82" s="68"/>
      <c r="AC82" s="543"/>
    </row>
    <row r="83" spans="1:29" ht="39" customHeight="1" hidden="1">
      <c r="A83" s="243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390"/>
      <c r="P83" s="390"/>
      <c r="Q83" s="389"/>
      <c r="R83" s="47"/>
      <c r="S83" s="47"/>
      <c r="T83" s="47"/>
      <c r="U83" s="47"/>
      <c r="V83" s="50"/>
      <c r="W83" s="50"/>
      <c r="X83" s="50"/>
      <c r="Y83" s="50"/>
      <c r="Z83" s="47"/>
      <c r="AA83" s="385"/>
      <c r="AB83" s="68"/>
      <c r="AC83" s="543"/>
    </row>
    <row r="84" spans="1:29" ht="39" customHeight="1" hidden="1">
      <c r="A84" s="243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390"/>
      <c r="P84" s="390"/>
      <c r="Q84" s="389"/>
      <c r="R84" s="47"/>
      <c r="S84" s="47"/>
      <c r="T84" s="47"/>
      <c r="U84" s="47"/>
      <c r="V84" s="50"/>
      <c r="W84" s="50"/>
      <c r="X84" s="50"/>
      <c r="Y84" s="50"/>
      <c r="Z84" s="47"/>
      <c r="AA84" s="385"/>
      <c r="AB84" s="68"/>
      <c r="AC84" s="543"/>
    </row>
    <row r="85" spans="1:29" ht="39" customHeight="1" hidden="1">
      <c r="A85" s="243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390"/>
      <c r="P85" s="390"/>
      <c r="Q85" s="389"/>
      <c r="R85" s="47"/>
      <c r="S85" s="47"/>
      <c r="T85" s="47"/>
      <c r="U85" s="47"/>
      <c r="V85" s="50"/>
      <c r="W85" s="50"/>
      <c r="X85" s="50"/>
      <c r="Y85" s="50"/>
      <c r="Z85" s="47"/>
      <c r="AA85" s="385"/>
      <c r="AB85" s="68"/>
      <c r="AC85" s="543"/>
    </row>
    <row r="86" spans="1:29" ht="39" customHeight="1" hidden="1">
      <c r="A86" s="243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390"/>
      <c r="P86" s="390"/>
      <c r="Q86" s="389"/>
      <c r="R86" s="47"/>
      <c r="S86" s="47"/>
      <c r="T86" s="47"/>
      <c r="U86" s="47"/>
      <c r="V86" s="50"/>
      <c r="W86" s="50"/>
      <c r="X86" s="50"/>
      <c r="Y86" s="50"/>
      <c r="Z86" s="47"/>
      <c r="AA86" s="385"/>
      <c r="AB86" s="68"/>
      <c r="AC86" s="543"/>
    </row>
    <row r="87" spans="1:29" ht="39" customHeight="1" hidden="1">
      <c r="A87" s="243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390"/>
      <c r="P87" s="390"/>
      <c r="Q87" s="389"/>
      <c r="R87" s="47"/>
      <c r="S87" s="47"/>
      <c r="T87" s="47"/>
      <c r="U87" s="47"/>
      <c r="V87" s="50"/>
      <c r="W87" s="50"/>
      <c r="X87" s="50"/>
      <c r="Y87" s="50"/>
      <c r="Z87" s="47"/>
      <c r="AA87" s="385"/>
      <c r="AB87" s="68"/>
      <c r="AC87" s="543"/>
    </row>
    <row r="88" spans="1:29" ht="39" customHeight="1" hidden="1">
      <c r="A88" s="243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390"/>
      <c r="P88" s="390"/>
      <c r="Q88" s="389"/>
      <c r="R88" s="47"/>
      <c r="S88" s="47"/>
      <c r="T88" s="47"/>
      <c r="U88" s="47"/>
      <c r="V88" s="50"/>
      <c r="W88" s="50"/>
      <c r="X88" s="50"/>
      <c r="Y88" s="50"/>
      <c r="Z88" s="47"/>
      <c r="AA88" s="385"/>
      <c r="AB88" s="68"/>
      <c r="AC88" s="543"/>
    </row>
    <row r="89" spans="1:29" s="15" customFormat="1" ht="27" customHeight="1" thickBot="1">
      <c r="A89" s="46" t="s">
        <v>1</v>
      </c>
      <c r="B89" s="52">
        <f aca="true" t="shared" si="3" ref="B89:G89">SUM(B67:B83)</f>
        <v>117514355</v>
      </c>
      <c r="C89" s="52">
        <f>SUM(C67:C83)</f>
        <v>117514355</v>
      </c>
      <c r="D89" s="52">
        <f>SUM(D67:D83)</f>
        <v>117514355</v>
      </c>
      <c r="E89" s="52">
        <f t="shared" si="3"/>
        <v>117514355</v>
      </c>
      <c r="F89" s="52">
        <f t="shared" si="3"/>
        <v>123140712</v>
      </c>
      <c r="G89" s="52">
        <f t="shared" si="3"/>
        <v>139075436</v>
      </c>
      <c r="H89" s="785">
        <f>F89/E89</f>
        <v>1.0478780400913574</v>
      </c>
      <c r="I89" s="784">
        <f aca="true" t="shared" si="4" ref="I89:V89">SUM(I67:I83)</f>
        <v>1867762</v>
      </c>
      <c r="J89" s="784">
        <f>SUM(J67:J83)</f>
        <v>1867762</v>
      </c>
      <c r="K89" s="784">
        <f>SUM(K67:K83)</f>
        <v>1812862</v>
      </c>
      <c r="L89" s="784">
        <f>SUM(L67:L83)</f>
        <v>1812862</v>
      </c>
      <c r="M89" s="784">
        <f>SUM(M67:M83)</f>
        <v>1812862</v>
      </c>
      <c r="N89" s="784">
        <f>SUM(N67:N83)</f>
        <v>1812862</v>
      </c>
      <c r="O89" s="784"/>
      <c r="P89" s="785">
        <f>M89/L89</f>
        <v>1</v>
      </c>
      <c r="Q89" s="783">
        <f t="shared" si="4"/>
        <v>0</v>
      </c>
      <c r="R89" s="52">
        <f t="shared" si="4"/>
        <v>0</v>
      </c>
      <c r="S89" s="52">
        <f t="shared" si="4"/>
        <v>0</v>
      </c>
      <c r="T89" s="52">
        <f t="shared" si="4"/>
        <v>0</v>
      </c>
      <c r="U89" s="52">
        <f t="shared" si="4"/>
        <v>0</v>
      </c>
      <c r="V89" s="52">
        <f t="shared" si="4"/>
        <v>0</v>
      </c>
      <c r="W89" s="52">
        <v>0</v>
      </c>
      <c r="X89" s="52"/>
      <c r="Y89" s="52"/>
      <c r="Z89" s="52"/>
      <c r="AA89" s="855"/>
      <c r="AB89" s="266"/>
      <c r="AC89" s="543"/>
    </row>
    <row r="90" spans="7:22" ht="18">
      <c r="G90" s="947"/>
      <c r="H90" s="947"/>
      <c r="I90" s="948"/>
      <c r="J90" s="947"/>
      <c r="K90" s="947"/>
      <c r="L90" s="947"/>
      <c r="M90" s="948"/>
      <c r="N90" s="948"/>
      <c r="O90" s="948"/>
      <c r="V90" s="287"/>
    </row>
    <row r="91" spans="1:22" ht="14.25" hidden="1">
      <c r="A91" s="1295"/>
      <c r="B91" s="1295"/>
      <c r="C91" s="1295"/>
      <c r="D91" s="1295"/>
      <c r="E91" s="1295"/>
      <c r="F91" s="1295"/>
      <c r="G91" s="1295"/>
      <c r="H91" s="1295"/>
      <c r="I91" s="1295"/>
      <c r="J91" s="1295"/>
      <c r="K91" s="1295"/>
      <c r="L91" s="1295"/>
      <c r="M91" s="1295"/>
      <c r="N91" s="1295"/>
      <c r="O91" s="1295"/>
      <c r="P91" s="1295"/>
      <c r="Q91" s="1295"/>
      <c r="R91" s="1295"/>
      <c r="S91" s="1295"/>
      <c r="T91" s="1295"/>
      <c r="U91" s="1295"/>
      <c r="V91" s="1295"/>
    </row>
    <row r="92" spans="1:15" ht="18.75" hidden="1" thickBot="1">
      <c r="A92" s="919"/>
      <c r="E92" s="383"/>
      <c r="F92" s="383"/>
      <c r="G92" s="383"/>
      <c r="N92" s="862"/>
      <c r="O92" s="862"/>
    </row>
    <row r="93" spans="1:28" ht="15.75" hidden="1">
      <c r="A93" s="1283"/>
      <c r="B93" s="1285"/>
      <c r="C93" s="1286"/>
      <c r="D93" s="1286"/>
      <c r="E93" s="1286"/>
      <c r="F93" s="1286"/>
      <c r="G93" s="1286"/>
      <c r="H93" s="1286"/>
      <c r="I93" s="1286"/>
      <c r="J93" s="1286"/>
      <c r="K93" s="1286"/>
      <c r="L93" s="1286"/>
      <c r="M93" s="1286"/>
      <c r="N93" s="1286"/>
      <c r="O93" s="1286"/>
      <c r="P93" s="1286"/>
      <c r="Q93" s="1287"/>
      <c r="R93" s="1288"/>
      <c r="S93" s="1288"/>
      <c r="T93" s="1288"/>
      <c r="U93" s="1288"/>
      <c r="V93" s="1288"/>
      <c r="W93" s="1288"/>
      <c r="X93" s="1288"/>
      <c r="Y93" s="1288"/>
      <c r="Z93" s="1288"/>
      <c r="AA93" s="1285"/>
      <c r="AB93" s="1289"/>
    </row>
    <row r="94" spans="1:28" ht="15.75" hidden="1">
      <c r="A94" s="1284"/>
      <c r="B94" s="1290"/>
      <c r="C94" s="1291"/>
      <c r="D94" s="1291"/>
      <c r="E94" s="1291"/>
      <c r="F94" s="1291"/>
      <c r="G94" s="1291"/>
      <c r="H94" s="1292"/>
      <c r="I94" s="1290"/>
      <c r="J94" s="1291"/>
      <c r="K94" s="1291"/>
      <c r="L94" s="1291"/>
      <c r="M94" s="1291"/>
      <c r="N94" s="1291"/>
      <c r="O94" s="1291"/>
      <c r="P94" s="1291"/>
      <c r="Q94" s="1293"/>
      <c r="R94" s="1294"/>
      <c r="S94" s="1294"/>
      <c r="T94" s="1294"/>
      <c r="U94" s="1294"/>
      <c r="V94" s="1294"/>
      <c r="W94" s="1294"/>
      <c r="X94" s="1294"/>
      <c r="Y94" s="1294"/>
      <c r="Z94" s="1294"/>
      <c r="AA94" s="1290"/>
      <c r="AB94" s="1296"/>
    </row>
    <row r="95" spans="1:28" ht="15.75" hidden="1">
      <c r="A95" s="300"/>
      <c r="B95" s="301"/>
      <c r="C95" s="301"/>
      <c r="D95" s="545"/>
      <c r="E95" s="301"/>
      <c r="F95" s="301"/>
      <c r="G95" s="301"/>
      <c r="H95" s="301"/>
      <c r="I95" s="301"/>
      <c r="J95" s="825"/>
      <c r="K95" s="830"/>
      <c r="L95" s="831"/>
      <c r="M95" s="301"/>
      <c r="N95" s="856"/>
      <c r="O95" s="856"/>
      <c r="P95" s="831"/>
      <c r="Q95" s="826"/>
      <c r="R95" s="301"/>
      <c r="S95" s="545"/>
      <c r="T95" s="301"/>
      <c r="U95" s="301"/>
      <c r="V95" s="301"/>
      <c r="W95" s="301"/>
      <c r="X95" s="545"/>
      <c r="Y95" s="301"/>
      <c r="Z95" s="301"/>
      <c r="AA95" s="856"/>
      <c r="AB95" s="301"/>
    </row>
    <row r="96" spans="1:28" ht="18" hidden="1">
      <c r="A96" s="43"/>
      <c r="B96" s="50"/>
      <c r="C96" s="50"/>
      <c r="D96" s="50"/>
      <c r="E96" s="50"/>
      <c r="F96" s="50"/>
      <c r="G96" s="50"/>
      <c r="H96" s="780"/>
      <c r="I96" s="50"/>
      <c r="J96" s="50"/>
      <c r="K96" s="50"/>
      <c r="L96" s="50"/>
      <c r="M96" s="386"/>
      <c r="N96" s="386"/>
      <c r="O96" s="386"/>
      <c r="P96" s="386"/>
      <c r="Q96" s="389"/>
      <c r="R96" s="47"/>
      <c r="S96" s="47"/>
      <c r="T96" s="47"/>
      <c r="U96" s="47"/>
      <c r="V96" s="50"/>
      <c r="W96" s="50"/>
      <c r="X96" s="50"/>
      <c r="Y96" s="50"/>
      <c r="Z96" s="50"/>
      <c r="AA96" s="385"/>
      <c r="AB96" s="68"/>
    </row>
    <row r="97" spans="1:28" ht="18" hidden="1">
      <c r="A97" s="43"/>
      <c r="B97" s="69"/>
      <c r="C97" s="69"/>
      <c r="D97" s="69"/>
      <c r="E97" s="69"/>
      <c r="F97" s="69"/>
      <c r="G97" s="69"/>
      <c r="H97" s="780"/>
      <c r="I97" s="69"/>
      <c r="J97" s="69"/>
      <c r="K97" s="69"/>
      <c r="L97" s="69"/>
      <c r="M97" s="390"/>
      <c r="N97" s="390"/>
      <c r="O97" s="390"/>
      <c r="P97" s="390"/>
      <c r="Q97" s="389"/>
      <c r="R97" s="47"/>
      <c r="S97" s="47"/>
      <c r="T97" s="47"/>
      <c r="U97" s="47"/>
      <c r="V97" s="50"/>
      <c r="W97" s="50"/>
      <c r="X97" s="50"/>
      <c r="Y97" s="50"/>
      <c r="Z97" s="47"/>
      <c r="AA97" s="385"/>
      <c r="AB97" s="68"/>
    </row>
    <row r="98" spans="1:28" ht="18" hidden="1">
      <c r="A98" s="70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390"/>
      <c r="P98" s="780"/>
      <c r="Q98" s="389"/>
      <c r="R98" s="47"/>
      <c r="S98" s="47"/>
      <c r="T98" s="47"/>
      <c r="U98" s="47"/>
      <c r="V98" s="50"/>
      <c r="W98" s="50"/>
      <c r="X98" s="50"/>
      <c r="Y98" s="50"/>
      <c r="Z98" s="47"/>
      <c r="AA98" s="385"/>
      <c r="AB98" s="68"/>
    </row>
    <row r="99" spans="1:28" ht="18" hidden="1">
      <c r="A99" s="70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390"/>
      <c r="P99" s="780"/>
      <c r="Q99" s="389"/>
      <c r="R99" s="47"/>
      <c r="S99" s="47"/>
      <c r="T99" s="47"/>
      <c r="U99" s="47"/>
      <c r="V99" s="50"/>
      <c r="W99" s="50"/>
      <c r="X99" s="50"/>
      <c r="Y99" s="50"/>
      <c r="Z99" s="47"/>
      <c r="AA99" s="385"/>
      <c r="AB99" s="68"/>
    </row>
    <row r="100" spans="1:28" ht="18" hidden="1">
      <c r="A100" s="70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390"/>
      <c r="P100" s="780"/>
      <c r="Q100" s="389"/>
      <c r="R100" s="47"/>
      <c r="S100" s="47"/>
      <c r="T100" s="47"/>
      <c r="U100" s="47"/>
      <c r="V100" s="50"/>
      <c r="W100" s="50"/>
      <c r="X100" s="50"/>
      <c r="Y100" s="50"/>
      <c r="Z100" s="47"/>
      <c r="AA100" s="385"/>
      <c r="AB100" s="68"/>
    </row>
    <row r="101" spans="1:28" ht="18" hidden="1">
      <c r="A101" s="70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390"/>
      <c r="P101" s="780"/>
      <c r="Q101" s="389"/>
      <c r="R101" s="47"/>
      <c r="S101" s="47"/>
      <c r="T101" s="47"/>
      <c r="U101" s="47"/>
      <c r="V101" s="50"/>
      <c r="W101" s="50"/>
      <c r="X101" s="50"/>
      <c r="Y101" s="50"/>
      <c r="Z101" s="47"/>
      <c r="AA101" s="385"/>
      <c r="AB101" s="68"/>
    </row>
    <row r="102" spans="1:28" ht="18" hidden="1">
      <c r="A102" s="70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390"/>
      <c r="P102" s="780"/>
      <c r="Q102" s="389"/>
      <c r="R102" s="47"/>
      <c r="S102" s="47"/>
      <c r="T102" s="47"/>
      <c r="U102" s="47"/>
      <c r="V102" s="50"/>
      <c r="W102" s="50"/>
      <c r="X102" s="50"/>
      <c r="Y102" s="50"/>
      <c r="Z102" s="47"/>
      <c r="AA102" s="385"/>
      <c r="AB102" s="68"/>
    </row>
    <row r="103" spans="1:28" ht="18" hidden="1">
      <c r="A103" s="70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390"/>
      <c r="P103" s="780"/>
      <c r="Q103" s="389"/>
      <c r="R103" s="47"/>
      <c r="S103" s="47"/>
      <c r="T103" s="47"/>
      <c r="U103" s="47"/>
      <c r="V103" s="50"/>
      <c r="W103" s="50"/>
      <c r="X103" s="50"/>
      <c r="Y103" s="50"/>
      <c r="Z103" s="47"/>
      <c r="AA103" s="385"/>
      <c r="AB103" s="68"/>
    </row>
    <row r="104" spans="1:28" ht="18" hidden="1">
      <c r="A104" s="70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390"/>
      <c r="P104" s="780"/>
      <c r="Q104" s="389"/>
      <c r="R104" s="47"/>
      <c r="S104" s="47"/>
      <c r="T104" s="47"/>
      <c r="U104" s="47"/>
      <c r="V104" s="50"/>
      <c r="W104" s="50"/>
      <c r="X104" s="50"/>
      <c r="Y104" s="50"/>
      <c r="Z104" s="47"/>
      <c r="AA104" s="385"/>
      <c r="AB104" s="68"/>
    </row>
    <row r="105" spans="1:28" ht="18" hidden="1">
      <c r="A105" s="70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390"/>
      <c r="P105" s="780"/>
      <c r="Q105" s="389"/>
      <c r="R105" s="47"/>
      <c r="S105" s="47"/>
      <c r="T105" s="47"/>
      <c r="U105" s="47"/>
      <c r="V105" s="50"/>
      <c r="W105" s="50"/>
      <c r="X105" s="50"/>
      <c r="Y105" s="50"/>
      <c r="Z105" s="47"/>
      <c r="AA105" s="385"/>
      <c r="AB105" s="68"/>
    </row>
    <row r="106" spans="1:28" ht="18" hidden="1">
      <c r="A106" s="70"/>
      <c r="B106" s="69"/>
      <c r="C106" s="69"/>
      <c r="D106" s="69"/>
      <c r="E106" s="69"/>
      <c r="F106" s="69"/>
      <c r="G106" s="69"/>
      <c r="H106" s="780"/>
      <c r="I106" s="69"/>
      <c r="J106" s="69"/>
      <c r="K106" s="69"/>
      <c r="L106" s="69"/>
      <c r="M106" s="69"/>
      <c r="N106" s="69"/>
      <c r="O106" s="390"/>
      <c r="P106" s="390"/>
      <c r="Q106" s="389"/>
      <c r="R106" s="47"/>
      <c r="S106" s="47"/>
      <c r="T106" s="47"/>
      <c r="U106" s="47"/>
      <c r="V106" s="50"/>
      <c r="W106" s="50"/>
      <c r="X106" s="50"/>
      <c r="Y106" s="50"/>
      <c r="Z106" s="47"/>
      <c r="AA106" s="385"/>
      <c r="AB106" s="68"/>
    </row>
    <row r="107" spans="1:28" ht="18" hidden="1">
      <c r="A107" s="70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390"/>
      <c r="P107" s="390"/>
      <c r="Q107" s="389"/>
      <c r="R107" s="47"/>
      <c r="S107" s="47"/>
      <c r="T107" s="47"/>
      <c r="U107" s="47"/>
      <c r="V107" s="50"/>
      <c r="W107" s="50"/>
      <c r="X107" s="50"/>
      <c r="Y107" s="50"/>
      <c r="Z107" s="47"/>
      <c r="AA107" s="385"/>
      <c r="AB107" s="68"/>
    </row>
    <row r="108" spans="1:28" ht="18" hidden="1">
      <c r="A108" s="70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390"/>
      <c r="P108" s="390"/>
      <c r="Q108" s="389"/>
      <c r="R108" s="47"/>
      <c r="S108" s="47"/>
      <c r="T108" s="47"/>
      <c r="U108" s="47"/>
      <c r="V108" s="50"/>
      <c r="W108" s="50"/>
      <c r="X108" s="50"/>
      <c r="Y108" s="50"/>
      <c r="Z108" s="47"/>
      <c r="AA108" s="385"/>
      <c r="AB108" s="68"/>
    </row>
    <row r="109" spans="1:28" ht="18" hidden="1">
      <c r="A109" s="70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390"/>
      <c r="P109" s="390"/>
      <c r="Q109" s="389"/>
      <c r="R109" s="47"/>
      <c r="S109" s="47"/>
      <c r="T109" s="47"/>
      <c r="U109" s="47"/>
      <c r="V109" s="50"/>
      <c r="W109" s="50"/>
      <c r="X109" s="50"/>
      <c r="Y109" s="50"/>
      <c r="Z109" s="47"/>
      <c r="AA109" s="385"/>
      <c r="AB109" s="68"/>
    </row>
    <row r="110" spans="1:28" ht="18" hidden="1">
      <c r="A110" s="243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390"/>
      <c r="P110" s="390"/>
      <c r="Q110" s="389"/>
      <c r="R110" s="47"/>
      <c r="S110" s="47"/>
      <c r="T110" s="47"/>
      <c r="U110" s="47"/>
      <c r="V110" s="50"/>
      <c r="W110" s="50"/>
      <c r="X110" s="50"/>
      <c r="Y110" s="50"/>
      <c r="Z110" s="47"/>
      <c r="AA110" s="385"/>
      <c r="AB110" s="68"/>
    </row>
    <row r="111" spans="1:28" ht="18" hidden="1">
      <c r="A111" s="243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390"/>
      <c r="P111" s="390"/>
      <c r="Q111" s="389"/>
      <c r="R111" s="47"/>
      <c r="S111" s="47"/>
      <c r="T111" s="47"/>
      <c r="U111" s="47"/>
      <c r="V111" s="50"/>
      <c r="W111" s="50"/>
      <c r="X111" s="50"/>
      <c r="Y111" s="50"/>
      <c r="Z111" s="47"/>
      <c r="AA111" s="385"/>
      <c r="AB111" s="68"/>
    </row>
    <row r="112" spans="1:28" ht="18" hidden="1">
      <c r="A112" s="243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390"/>
      <c r="P112" s="390"/>
      <c r="Q112" s="389"/>
      <c r="R112" s="47"/>
      <c r="S112" s="47"/>
      <c r="T112" s="47"/>
      <c r="U112" s="47"/>
      <c r="V112" s="50"/>
      <c r="W112" s="50"/>
      <c r="X112" s="50"/>
      <c r="Y112" s="50"/>
      <c r="Z112" s="47"/>
      <c r="AA112" s="385"/>
      <c r="AB112" s="68"/>
    </row>
    <row r="113" spans="1:28" ht="18" hidden="1">
      <c r="A113" s="243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390"/>
      <c r="P113" s="390"/>
      <c r="Q113" s="389"/>
      <c r="R113" s="47"/>
      <c r="S113" s="47"/>
      <c r="T113" s="47"/>
      <c r="U113" s="47"/>
      <c r="V113" s="50"/>
      <c r="W113" s="50"/>
      <c r="X113" s="50"/>
      <c r="Y113" s="50"/>
      <c r="Z113" s="47"/>
      <c r="AA113" s="385"/>
      <c r="AB113" s="68"/>
    </row>
    <row r="114" spans="1:28" ht="18" hidden="1">
      <c r="A114" s="243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390"/>
      <c r="P114" s="390"/>
      <c r="Q114" s="389"/>
      <c r="R114" s="47"/>
      <c r="S114" s="47"/>
      <c r="T114" s="47"/>
      <c r="U114" s="47"/>
      <c r="V114" s="50"/>
      <c r="W114" s="50"/>
      <c r="X114" s="50"/>
      <c r="Y114" s="50"/>
      <c r="Z114" s="47"/>
      <c r="AA114" s="385"/>
      <c r="AB114" s="68"/>
    </row>
    <row r="115" spans="1:28" ht="18" hidden="1">
      <c r="A115" s="243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390"/>
      <c r="P115" s="390"/>
      <c r="Q115" s="389"/>
      <c r="R115" s="47"/>
      <c r="S115" s="47"/>
      <c r="T115" s="47"/>
      <c r="U115" s="47"/>
      <c r="V115" s="50"/>
      <c r="W115" s="50"/>
      <c r="X115" s="50"/>
      <c r="Y115" s="50"/>
      <c r="Z115" s="47"/>
      <c r="AA115" s="385"/>
      <c r="AB115" s="68"/>
    </row>
    <row r="116" spans="1:28" ht="18.75" hidden="1" thickBot="1">
      <c r="A116" s="46"/>
      <c r="B116" s="52"/>
      <c r="C116" s="52"/>
      <c r="D116" s="52"/>
      <c r="E116" s="52"/>
      <c r="F116" s="52"/>
      <c r="G116" s="52"/>
      <c r="H116" s="785"/>
      <c r="I116" s="784"/>
      <c r="J116" s="784"/>
      <c r="K116" s="784"/>
      <c r="L116" s="784"/>
      <c r="M116" s="784"/>
      <c r="N116" s="784"/>
      <c r="O116" s="784"/>
      <c r="P116" s="785"/>
      <c r="Q116" s="783"/>
      <c r="R116" s="52"/>
      <c r="S116" s="52"/>
      <c r="T116" s="52"/>
      <c r="U116" s="52"/>
      <c r="V116" s="52"/>
      <c r="W116" s="52"/>
      <c r="X116" s="52"/>
      <c r="Y116" s="784"/>
      <c r="Z116" s="784"/>
      <c r="AA116" s="784"/>
      <c r="AB116" s="266"/>
    </row>
    <row r="117" spans="9:13" ht="12.75">
      <c r="I117" s="383"/>
      <c r="K117" s="383"/>
      <c r="M117" s="383"/>
    </row>
    <row r="118" spans="7:13" ht="12.75">
      <c r="G118" s="383"/>
      <c r="K118" s="383"/>
      <c r="M118" s="383"/>
    </row>
    <row r="119" spans="3:11" ht="12.75">
      <c r="C119" s="383"/>
      <c r="G119" s="383"/>
      <c r="K119" s="383"/>
    </row>
    <row r="120" ht="12.75">
      <c r="G120" s="383"/>
    </row>
  </sheetData>
  <sheetProtection/>
  <mergeCells count="27">
    <mergeCell ref="Q1:Z1"/>
    <mergeCell ref="A91:V91"/>
    <mergeCell ref="A93:A94"/>
    <mergeCell ref="B93:P93"/>
    <mergeCell ref="Q93:AB93"/>
    <mergeCell ref="B94:H94"/>
    <mergeCell ref="I94:P94"/>
    <mergeCell ref="Q94:U94"/>
    <mergeCell ref="V94:AB94"/>
    <mergeCell ref="V8:AB8"/>
    <mergeCell ref="A62:V62"/>
    <mergeCell ref="A64:A65"/>
    <mergeCell ref="B64:P64"/>
    <mergeCell ref="Q64:AB64"/>
    <mergeCell ref="B65:H65"/>
    <mergeCell ref="I65:P65"/>
    <mergeCell ref="Q65:U65"/>
    <mergeCell ref="V65:AB65"/>
    <mergeCell ref="A2:V2"/>
    <mergeCell ref="A3:V3"/>
    <mergeCell ref="A4:V4"/>
    <mergeCell ref="A7:A8"/>
    <mergeCell ref="B7:P7"/>
    <mergeCell ref="Q7:AB7"/>
    <mergeCell ref="B8:H8"/>
    <mergeCell ref="I8:P8"/>
    <mergeCell ref="Q8:U8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2" r:id="rId1"/>
  <headerFooter alignWithMargins="0">
    <oddFooter>&amp;R
</oddFooter>
  </headerFooter>
  <colBreaks count="1" manualBreakCount="1">
    <brk id="29" max="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2" sqref="A2:G2"/>
    </sheetView>
  </sheetViews>
  <sheetFormatPr defaultColWidth="9.140625" defaultRowHeight="12.75"/>
  <cols>
    <col min="1" max="1" width="8.140625" style="693" customWidth="1"/>
    <col min="2" max="2" width="64.00390625" style="693" customWidth="1"/>
    <col min="3" max="3" width="19.8515625" style="693" customWidth="1"/>
    <col min="4" max="5" width="16.7109375" style="693" customWidth="1"/>
    <col min="6" max="8" width="15.00390625" style="693" customWidth="1"/>
    <col min="9" max="12" width="15.00390625" style="693" hidden="1" customWidth="1"/>
    <col min="13" max="13" width="15.00390625" style="693" customWidth="1"/>
    <col min="14" max="16384" width="9.140625" style="693" customWidth="1"/>
  </cols>
  <sheetData>
    <row r="1" spans="3:7" ht="15">
      <c r="C1" s="1303" t="s">
        <v>628</v>
      </c>
      <c r="D1" s="1303"/>
      <c r="E1" s="1303"/>
      <c r="F1" s="1303"/>
      <c r="G1" s="1303"/>
    </row>
    <row r="2" spans="1:7" ht="47.25" customHeight="1">
      <c r="A2" s="1302" t="s">
        <v>397</v>
      </c>
      <c r="B2" s="1302"/>
      <c r="C2" s="1302"/>
      <c r="D2" s="1302"/>
      <c r="E2" s="1302"/>
      <c r="F2" s="1302"/>
      <c r="G2" s="1302"/>
    </row>
    <row r="3" spans="1:6" ht="15.75" customHeight="1" thickBot="1">
      <c r="A3" s="694"/>
      <c r="B3" s="694"/>
      <c r="C3" s="1301" t="s">
        <v>459</v>
      </c>
      <c r="D3" s="1301"/>
      <c r="E3" s="1301"/>
      <c r="F3" s="695"/>
    </row>
    <row r="4" spans="1:12" ht="44.25" customHeight="1" thickBot="1">
      <c r="A4" s="696" t="s">
        <v>251</v>
      </c>
      <c r="B4" s="697" t="s">
        <v>398</v>
      </c>
      <c r="C4" s="698" t="s">
        <v>562</v>
      </c>
      <c r="D4" s="698" t="s">
        <v>229</v>
      </c>
      <c r="E4" s="698" t="s">
        <v>232</v>
      </c>
      <c r="F4" s="698" t="s">
        <v>234</v>
      </c>
      <c r="G4" s="698" t="s">
        <v>248</v>
      </c>
      <c r="H4" s="698" t="s">
        <v>253</v>
      </c>
      <c r="I4" s="698" t="s">
        <v>235</v>
      </c>
      <c r="J4" s="698" t="s">
        <v>450</v>
      </c>
      <c r="K4" s="698" t="s">
        <v>455</v>
      </c>
      <c r="L4" s="698" t="s">
        <v>445</v>
      </c>
    </row>
    <row r="5" spans="1:12" ht="26.25" customHeight="1" thickBot="1">
      <c r="A5" s="699">
        <v>1</v>
      </c>
      <c r="B5" s="700">
        <v>2</v>
      </c>
      <c r="C5" s="701">
        <v>3</v>
      </c>
      <c r="D5" s="701">
        <v>4</v>
      </c>
      <c r="E5" s="701">
        <v>5</v>
      </c>
      <c r="F5" s="701">
        <v>6</v>
      </c>
      <c r="G5" s="701">
        <v>7</v>
      </c>
      <c r="H5" s="701">
        <v>8</v>
      </c>
      <c r="I5" s="701">
        <v>5</v>
      </c>
      <c r="J5" s="701">
        <v>6</v>
      </c>
      <c r="K5" s="701">
        <v>7</v>
      </c>
      <c r="L5" s="701">
        <v>7</v>
      </c>
    </row>
    <row r="6" spans="1:12" ht="31.5" customHeight="1">
      <c r="A6" s="702" t="s">
        <v>27</v>
      </c>
      <c r="B6" s="703" t="s">
        <v>287</v>
      </c>
      <c r="C6" s="704">
        <f>'1.sz.m-önk.össze.bev'!E8</f>
        <v>17500000</v>
      </c>
      <c r="D6" s="704">
        <f>'1.sz.m-önk.össze.bev'!F8</f>
        <v>17500000</v>
      </c>
      <c r="E6" s="704">
        <f>'1.sz.m-önk.össze.bev'!G8</f>
        <v>17500000</v>
      </c>
      <c r="F6" s="704">
        <f>'1.sz.m-önk.össze.bev'!H8</f>
        <v>17500000</v>
      </c>
      <c r="G6" s="704">
        <f>'1.sz.m-önk.össze.bev'!I8</f>
        <v>17500000</v>
      </c>
      <c r="H6" s="704">
        <f>'1.sz.m-önk.össze.bev'!J8</f>
        <v>19179992</v>
      </c>
      <c r="I6" s="704">
        <f>'1.sz.m-önk.össze.bev'!K8</f>
        <v>17500000</v>
      </c>
      <c r="J6" s="704">
        <f>'1.sz.m-önk.össze.bev'!L8</f>
        <v>17500000</v>
      </c>
      <c r="K6" s="704">
        <f>'1.sz.m-önk.össze.bev'!M8</f>
        <v>17500000</v>
      </c>
      <c r="L6" s="704">
        <f>'1.sz.m-önk.össze.bev'!N8</f>
        <v>17500000</v>
      </c>
    </row>
    <row r="7" spans="1:12" ht="26.25" customHeight="1">
      <c r="A7" s="705" t="s">
        <v>28</v>
      </c>
      <c r="B7" s="703" t="s">
        <v>399</v>
      </c>
      <c r="C7" s="706">
        <f>'1.sz.m-önk.össze.bev'!E13</f>
        <v>140000000</v>
      </c>
      <c r="D7" s="706">
        <f>'1.sz.m-önk.össze.bev'!F13</f>
        <v>140000000</v>
      </c>
      <c r="E7" s="706">
        <f>'1.sz.m-önk.össze.bev'!G13</f>
        <v>140000000</v>
      </c>
      <c r="F7" s="706">
        <f>'1.sz.m-önk.össze.bev'!H13</f>
        <v>140000000</v>
      </c>
      <c r="G7" s="706">
        <f>'1.sz.m-önk.össze.bev'!I13</f>
        <v>140000000</v>
      </c>
      <c r="H7" s="706">
        <f>'1.sz.m-önk.össze.bev'!J13</f>
        <v>152448775</v>
      </c>
      <c r="I7" s="706">
        <f>'1.sz.m-önk.össze.bev'!K13</f>
        <v>119054518</v>
      </c>
      <c r="J7" s="706">
        <f>'1.sz.m-önk.össze.bev'!L13</f>
        <v>117064015</v>
      </c>
      <c r="K7" s="706">
        <f>'1.sz.m-önk.össze.bev'!M13</f>
        <v>117219272</v>
      </c>
      <c r="L7" s="706">
        <f>'1.sz.m-önk.össze.bev'!N13</f>
        <v>117219269</v>
      </c>
    </row>
    <row r="8" spans="1:12" ht="33.75" customHeight="1">
      <c r="A8" s="707" t="s">
        <v>10</v>
      </c>
      <c r="B8" s="708" t="s">
        <v>400</v>
      </c>
      <c r="C8" s="709">
        <f>'1.sz.m-önk.össze.bev'!E17</f>
        <v>0</v>
      </c>
      <c r="D8" s="709">
        <f>'1.sz.m-önk.össze.bev'!F17</f>
        <v>0</v>
      </c>
      <c r="E8" s="709">
        <f>'1.sz.m-önk.össze.bev'!G17</f>
        <v>0</v>
      </c>
      <c r="F8" s="709">
        <f>'1.sz.m-önk.össze.bev'!H17</f>
        <v>0</v>
      </c>
      <c r="G8" s="709">
        <f>'1.sz.m-önk.össze.bev'!I17</f>
        <v>0</v>
      </c>
      <c r="H8" s="709">
        <f>'1.sz.m-önk.össze.bev'!J17</f>
        <v>0</v>
      </c>
      <c r="I8" s="709">
        <f>'1.sz.m-önk.össze.bev'!K17</f>
        <v>0</v>
      </c>
      <c r="J8" s="709">
        <f>'1.sz.m-önk.össze.bev'!L17</f>
        <v>0</v>
      </c>
      <c r="K8" s="709">
        <f>'1.sz.m-önk.össze.bev'!M17</f>
        <v>0</v>
      </c>
      <c r="L8" s="709">
        <f>'1.sz.m-önk.össze.bev'!N17</f>
        <v>0</v>
      </c>
    </row>
    <row r="9" spans="1:12" ht="33" customHeight="1">
      <c r="A9" s="705" t="s">
        <v>11</v>
      </c>
      <c r="B9" s="710" t="s">
        <v>302</v>
      </c>
      <c r="C9" s="709">
        <f>'1.sz.m-önk.össze.bev'!E20</f>
        <v>1060000</v>
      </c>
      <c r="D9" s="709">
        <f>'1.sz.m-önk.össze.bev'!F20</f>
        <v>1060000</v>
      </c>
      <c r="E9" s="709">
        <f>'1.sz.m-önk.össze.bev'!G20</f>
        <v>3781890</v>
      </c>
      <c r="F9" s="709">
        <f>'1.sz.m-önk.össze.bev'!H20</f>
        <v>3781890</v>
      </c>
      <c r="G9" s="709">
        <f>'1.sz.m-önk.össze.bev'!I20</f>
        <v>4292890</v>
      </c>
      <c r="H9" s="709">
        <f>'1.sz.m-önk.össze.bev'!J20</f>
        <v>3546220</v>
      </c>
      <c r="I9" s="709">
        <f>'1.sz.m-önk.össze.bev'!K20</f>
        <v>1060000</v>
      </c>
      <c r="J9" s="709">
        <f>'1.sz.m-önk.össze.bev'!L20</f>
        <v>1060000</v>
      </c>
      <c r="K9" s="709">
        <f>'1.sz.m-önk.össze.bev'!M20</f>
        <v>3781890</v>
      </c>
      <c r="L9" s="709">
        <f>'1.sz.m-önk.össze.bev'!N20</f>
        <v>3781890</v>
      </c>
    </row>
    <row r="10" spans="1:12" ht="26.25" customHeight="1">
      <c r="A10" s="707" t="s">
        <v>12</v>
      </c>
      <c r="B10" s="710" t="s">
        <v>401</v>
      </c>
      <c r="C10" s="711">
        <f>'1.sz.m-önk.össze.bev'!E25</f>
        <v>12033812</v>
      </c>
      <c r="D10" s="711">
        <f>'1.sz.m-önk.össze.bev'!F25</f>
        <v>12033812</v>
      </c>
      <c r="E10" s="711">
        <f>'1.sz.m-önk.össze.bev'!G25</f>
        <v>12334170</v>
      </c>
      <c r="F10" s="711">
        <f>'1.sz.m-önk.össze.bev'!H25</f>
        <v>12334170</v>
      </c>
      <c r="G10" s="711">
        <f>'1.sz.m-önk.össze.bev'!I25</f>
        <v>12734951</v>
      </c>
      <c r="H10" s="711">
        <f>'1.sz.m-önk.össze.bev'!J25</f>
        <v>13756886</v>
      </c>
      <c r="I10" s="711">
        <f>'1.sz.m-önk.össze.bev'!K25</f>
        <v>10263812</v>
      </c>
      <c r="J10" s="711">
        <f>'1.sz.m-önk.össze.bev'!L25</f>
        <v>10263812</v>
      </c>
      <c r="K10" s="711">
        <f>'1.sz.m-önk.össze.bev'!M25</f>
        <v>12334170</v>
      </c>
      <c r="L10" s="711">
        <f>'1.sz.m-önk.össze.bev'!N25</f>
        <v>12334170</v>
      </c>
    </row>
    <row r="11" spans="1:12" ht="26.25" customHeight="1" thickBot="1">
      <c r="A11" s="707" t="s">
        <v>13</v>
      </c>
      <c r="B11" s="710" t="s">
        <v>551</v>
      </c>
      <c r="C11" s="709">
        <f>'1.sz.m-önk.össze.bev'!E55</f>
        <v>33000000</v>
      </c>
      <c r="D11" s="709">
        <f>'1.sz.m-önk.össze.bev'!F55</f>
        <v>33000000</v>
      </c>
      <c r="E11" s="709">
        <f>'1.sz.m-önk.össze.bev'!G55</f>
        <v>33080000</v>
      </c>
      <c r="F11" s="709">
        <f>'1.sz.m-önk.össze.bev'!H55</f>
        <v>33080000</v>
      </c>
      <c r="G11" s="709">
        <f>'1.sz.m-önk.össze.bev'!I55</f>
        <v>33080000</v>
      </c>
      <c r="H11" s="709">
        <f>'1.sz.m-önk.össze.bev'!J55</f>
        <v>31687000</v>
      </c>
      <c r="I11" s="709">
        <f>'1.sz.m-önk.össze.bev'!K55</f>
        <v>33000000</v>
      </c>
      <c r="J11" s="709">
        <f>'1.sz.m-önk.össze.bev'!L55</f>
        <v>33000000</v>
      </c>
      <c r="K11" s="709">
        <f>'1.sz.m-önk.össze.bev'!M55</f>
        <v>33080000</v>
      </c>
      <c r="L11" s="709">
        <f>'1.sz.m-önk.össze.bev'!N55</f>
        <v>33080000</v>
      </c>
    </row>
    <row r="12" spans="1:12" ht="26.25" customHeight="1" thickBot="1">
      <c r="A12" s="1298" t="s">
        <v>402</v>
      </c>
      <c r="B12" s="1299"/>
      <c r="C12" s="712">
        <f aca="true" t="shared" si="0" ref="C12:L12">SUM(C6:C11)</f>
        <v>203593812</v>
      </c>
      <c r="D12" s="712">
        <f t="shared" si="0"/>
        <v>203593812</v>
      </c>
      <c r="E12" s="712">
        <f t="shared" si="0"/>
        <v>206696060</v>
      </c>
      <c r="F12" s="712">
        <f t="shared" si="0"/>
        <v>206696060</v>
      </c>
      <c r="G12" s="712">
        <f t="shared" si="0"/>
        <v>207607841</v>
      </c>
      <c r="H12" s="712">
        <f t="shared" si="0"/>
        <v>220618873</v>
      </c>
      <c r="I12" s="712">
        <f t="shared" si="0"/>
        <v>180878330</v>
      </c>
      <c r="J12" s="712">
        <f t="shared" si="0"/>
        <v>178887827</v>
      </c>
      <c r="K12" s="712">
        <f t="shared" si="0"/>
        <v>183915332</v>
      </c>
      <c r="L12" s="712">
        <f t="shared" si="0"/>
        <v>183915329</v>
      </c>
    </row>
    <row r="13" spans="1:5" ht="23.25" customHeight="1">
      <c r="A13" s="1300"/>
      <c r="B13" s="1300"/>
      <c r="C13" s="1300"/>
      <c r="D13" s="713"/>
      <c r="E13" s="713"/>
    </row>
  </sheetData>
  <sheetProtection/>
  <mergeCells count="5">
    <mergeCell ref="A12:B12"/>
    <mergeCell ref="A13:C13"/>
    <mergeCell ref="C3:E3"/>
    <mergeCell ref="A2:G2"/>
    <mergeCell ref="C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A2" sqref="A2:O2"/>
    </sheetView>
  </sheetViews>
  <sheetFormatPr defaultColWidth="9.140625" defaultRowHeight="12.75"/>
  <cols>
    <col min="1" max="1" width="5.57421875" style="787" customWidth="1"/>
    <col min="2" max="2" width="24.7109375" style="788" customWidth="1"/>
    <col min="3" max="3" width="9.57421875" style="789" bestFit="1" customWidth="1"/>
    <col min="4" max="4" width="11.421875" style="789" customWidth="1"/>
    <col min="5" max="13" width="9.57421875" style="789" bestFit="1" customWidth="1"/>
    <col min="14" max="14" width="9.28125" style="789" customWidth="1"/>
    <col min="15" max="15" width="9.7109375" style="787" bestFit="1" customWidth="1"/>
    <col min="16" max="16" width="15.8515625" style="789" customWidth="1"/>
    <col min="17" max="17" width="13.28125" style="789" customWidth="1"/>
    <col min="18" max="18" width="12.421875" style="789" bestFit="1" customWidth="1"/>
    <col min="19" max="19" width="12.57421875" style="789" customWidth="1"/>
    <col min="20" max="16384" width="9.140625" style="789" customWidth="1"/>
  </cols>
  <sheetData>
    <row r="1" spans="7:15" ht="15.75">
      <c r="G1" s="1309" t="s">
        <v>629</v>
      </c>
      <c r="H1" s="1309"/>
      <c r="I1" s="1309"/>
      <c r="J1" s="1309"/>
      <c r="K1" s="1309"/>
      <c r="L1" s="1309"/>
      <c r="M1" s="1309"/>
      <c r="N1" s="1309"/>
      <c r="O1" s="1309"/>
    </row>
    <row r="2" spans="1:15" ht="31.5" customHeight="1">
      <c r="A2" s="1304" t="s">
        <v>561</v>
      </c>
      <c r="B2" s="1305"/>
      <c r="C2" s="1305"/>
      <c r="D2" s="1305"/>
      <c r="E2" s="1305"/>
      <c r="F2" s="1305"/>
      <c r="G2" s="1305"/>
      <c r="H2" s="1305"/>
      <c r="I2" s="1305"/>
      <c r="J2" s="1305"/>
      <c r="K2" s="1305"/>
      <c r="L2" s="1305"/>
      <c r="M2" s="1305"/>
      <c r="N2" s="1305"/>
      <c r="O2" s="1305"/>
    </row>
    <row r="3" ht="16.5" thickBot="1">
      <c r="O3" s="790" t="s">
        <v>469</v>
      </c>
    </row>
    <row r="4" spans="1:15" s="787" customFormat="1" ht="35.25" customHeight="1" thickBot="1">
      <c r="A4" s="791" t="s">
        <v>251</v>
      </c>
      <c r="B4" s="792" t="s">
        <v>4</v>
      </c>
      <c r="C4" s="793" t="s">
        <v>406</v>
      </c>
      <c r="D4" s="793" t="s">
        <v>407</v>
      </c>
      <c r="E4" s="793" t="s">
        <v>408</v>
      </c>
      <c r="F4" s="793" t="s">
        <v>409</v>
      </c>
      <c r="G4" s="793" t="s">
        <v>410</v>
      </c>
      <c r="H4" s="793" t="s">
        <v>411</v>
      </c>
      <c r="I4" s="793" t="s">
        <v>412</v>
      </c>
      <c r="J4" s="793" t="s">
        <v>413</v>
      </c>
      <c r="K4" s="793" t="s">
        <v>414</v>
      </c>
      <c r="L4" s="793" t="s">
        <v>415</v>
      </c>
      <c r="M4" s="793" t="s">
        <v>416</v>
      </c>
      <c r="N4" s="793" t="s">
        <v>417</v>
      </c>
      <c r="O4" s="794" t="s">
        <v>21</v>
      </c>
    </row>
    <row r="5" spans="1:15" s="796" customFormat="1" ht="15" customHeight="1" thickBot="1">
      <c r="A5" s="795" t="s">
        <v>27</v>
      </c>
      <c r="B5" s="1306" t="s">
        <v>109</v>
      </c>
      <c r="C5" s="1307"/>
      <c r="D5" s="1307"/>
      <c r="E5" s="1307"/>
      <c r="F5" s="1307"/>
      <c r="G5" s="1307"/>
      <c r="H5" s="1307"/>
      <c r="I5" s="1307"/>
      <c r="J5" s="1307"/>
      <c r="K5" s="1307"/>
      <c r="L5" s="1307"/>
      <c r="M5" s="1307"/>
      <c r="N5" s="1307"/>
      <c r="O5" s="1308"/>
    </row>
    <row r="6" spans="1:15" s="796" customFormat="1" ht="15" customHeight="1">
      <c r="A6" s="797" t="s">
        <v>28</v>
      </c>
      <c r="B6" s="798" t="s">
        <v>418</v>
      </c>
      <c r="C6" s="799"/>
      <c r="D6" s="799"/>
      <c r="E6" s="799">
        <v>85880000</v>
      </c>
      <c r="F6" s="799"/>
      <c r="G6" s="799"/>
      <c r="H6" s="799">
        <v>2721890</v>
      </c>
      <c r="I6" s="799"/>
      <c r="J6" s="799"/>
      <c r="K6" s="799">
        <f>511000+85880000</f>
        <v>86391000</v>
      </c>
      <c r="L6" s="799"/>
      <c r="M6" s="799"/>
      <c r="N6" s="799">
        <v>14195613</v>
      </c>
      <c r="O6" s="800">
        <f aca="true" t="shared" si="0" ref="O6:O12">SUM(C6:N6)</f>
        <v>189188503</v>
      </c>
    </row>
    <row r="7" spans="1:19" s="805" customFormat="1" ht="13.5" customHeight="1">
      <c r="A7" s="801" t="s">
        <v>10</v>
      </c>
      <c r="B7" s="802" t="s">
        <v>419</v>
      </c>
      <c r="C7" s="803">
        <f>4274643</f>
        <v>4274643</v>
      </c>
      <c r="D7" s="803">
        <v>4274644</v>
      </c>
      <c r="E7" s="803">
        <v>4274643</v>
      </c>
      <c r="F7" s="803">
        <v>4274644</v>
      </c>
      <c r="G7" s="803">
        <v>4274643</v>
      </c>
      <c r="H7" s="803">
        <f>4274644+65640+2124175</f>
        <v>6464459</v>
      </c>
      <c r="I7" s="803">
        <v>4274643</v>
      </c>
      <c r="J7" s="803">
        <v>4274644</v>
      </c>
      <c r="K7" s="803">
        <f>1780395+4274643</f>
        <v>6055038</v>
      </c>
      <c r="L7" s="803">
        <v>4274644</v>
      </c>
      <c r="M7" s="803">
        <v>4274643</v>
      </c>
      <c r="N7" s="803">
        <f>763332+4274643+148410</f>
        <v>5186385</v>
      </c>
      <c r="O7" s="804">
        <f t="shared" si="0"/>
        <v>56177673</v>
      </c>
      <c r="Q7" s="796"/>
      <c r="S7" s="796"/>
    </row>
    <row r="8" spans="1:19" s="805" customFormat="1" ht="27" customHeight="1">
      <c r="A8" s="801" t="s">
        <v>11</v>
      </c>
      <c r="B8" s="806" t="s">
        <v>505</v>
      </c>
      <c r="C8" s="807">
        <v>21318523</v>
      </c>
      <c r="D8" s="807">
        <v>21318522</v>
      </c>
      <c r="E8" s="807">
        <v>21318523</v>
      </c>
      <c r="F8" s="807">
        <v>21318522</v>
      </c>
      <c r="G8" s="807">
        <v>21318523</v>
      </c>
      <c r="H8" s="807">
        <f>3844000+21318522</f>
        <v>25162522</v>
      </c>
      <c r="I8" s="807">
        <f>21318523+8686148</f>
        <v>30004671</v>
      </c>
      <c r="J8" s="807">
        <f>5274390+21318522-3844000</f>
        <v>22748912</v>
      </c>
      <c r="K8" s="807">
        <f>6868947+21318523</f>
        <v>28187470</v>
      </c>
      <c r="L8" s="807">
        <v>21318522</v>
      </c>
      <c r="M8" s="807">
        <f>2000000+21318523</f>
        <v>23318523</v>
      </c>
      <c r="N8" s="807">
        <f>2267495+21318522</f>
        <v>23586017</v>
      </c>
      <c r="O8" s="804">
        <f t="shared" si="0"/>
        <v>280919250</v>
      </c>
      <c r="Q8" s="796"/>
      <c r="S8" s="796"/>
    </row>
    <row r="9" spans="1:19" s="805" customFormat="1" ht="21.75" customHeight="1">
      <c r="A9" s="801" t="s">
        <v>12</v>
      </c>
      <c r="B9" s="806" t="s">
        <v>420</v>
      </c>
      <c r="C9" s="807"/>
      <c r="D9" s="807"/>
      <c r="E9" s="807"/>
      <c r="F9" s="807"/>
      <c r="G9" s="807"/>
      <c r="H9" s="807">
        <f>168644474-3844000</f>
        <v>164800474</v>
      </c>
      <c r="I9" s="807">
        <v>40000000</v>
      </c>
      <c r="J9" s="807">
        <v>285000</v>
      </c>
      <c r="K9" s="807"/>
      <c r="L9" s="807"/>
      <c r="M9" s="807"/>
      <c r="N9" s="807"/>
      <c r="O9" s="804">
        <f t="shared" si="0"/>
        <v>205085474</v>
      </c>
      <c r="Q9" s="796"/>
      <c r="S9" s="796"/>
    </row>
    <row r="10" spans="1:17" s="805" customFormat="1" ht="23.25" customHeight="1">
      <c r="A10" s="801" t="s">
        <v>12</v>
      </c>
      <c r="B10" s="802" t="s">
        <v>421</v>
      </c>
      <c r="C10" s="803"/>
      <c r="D10" s="803"/>
      <c r="E10" s="803"/>
      <c r="F10" s="803"/>
      <c r="G10" s="803">
        <v>400000</v>
      </c>
      <c r="H10" s="803">
        <v>168000</v>
      </c>
      <c r="I10" s="803"/>
      <c r="J10" s="803"/>
      <c r="K10" s="807"/>
      <c r="L10" s="803"/>
      <c r="M10" s="803"/>
      <c r="N10" s="803"/>
      <c r="O10" s="804">
        <f t="shared" si="0"/>
        <v>568000</v>
      </c>
      <c r="Q10" s="796"/>
    </row>
    <row r="11" spans="1:17" s="805" customFormat="1" ht="23.25" customHeight="1">
      <c r="A11" s="801" t="s">
        <v>13</v>
      </c>
      <c r="B11" s="802" t="s">
        <v>422</v>
      </c>
      <c r="C11" s="803"/>
      <c r="D11" s="803"/>
      <c r="E11" s="803"/>
      <c r="F11" s="803">
        <f>33000000-1393000</f>
        <v>31607000</v>
      </c>
      <c r="G11" s="803">
        <v>80000</v>
      </c>
      <c r="H11" s="803"/>
      <c r="I11" s="803"/>
      <c r="J11" s="803"/>
      <c r="K11" s="803"/>
      <c r="L11" s="803"/>
      <c r="M11" s="803"/>
      <c r="N11" s="803"/>
      <c r="O11" s="804">
        <f t="shared" si="0"/>
        <v>31687000</v>
      </c>
      <c r="Q11" s="796"/>
    </row>
    <row r="12" spans="1:17" s="805" customFormat="1" ht="23.25" customHeight="1" thickBot="1">
      <c r="A12" s="801" t="s">
        <v>14</v>
      </c>
      <c r="B12" s="802" t="s">
        <v>423</v>
      </c>
      <c r="C12" s="803">
        <f>'1.sz.m-önk.össze.bev'!F58</f>
        <v>146474220</v>
      </c>
      <c r="D12" s="803"/>
      <c r="E12" s="803"/>
      <c r="F12" s="803"/>
      <c r="G12" s="803"/>
      <c r="H12" s="803"/>
      <c r="I12" s="803"/>
      <c r="J12" s="803"/>
      <c r="K12" s="803"/>
      <c r="L12" s="803"/>
      <c r="M12" s="803"/>
      <c r="N12" s="803">
        <f>+'1.sz.m-önk.össze.bev'!J59</f>
        <v>9764380</v>
      </c>
      <c r="O12" s="804">
        <f t="shared" si="0"/>
        <v>156238600</v>
      </c>
      <c r="Q12" s="796"/>
    </row>
    <row r="13" spans="1:15" s="796" customFormat="1" ht="15.75" customHeight="1" thickBot="1">
      <c r="A13" s="801" t="s">
        <v>57</v>
      </c>
      <c r="B13" s="808" t="s">
        <v>424</v>
      </c>
      <c r="C13" s="809">
        <f aca="true" t="shared" si="1" ref="C13:O13">SUM(C6:C12)</f>
        <v>172067386</v>
      </c>
      <c r="D13" s="809">
        <f t="shared" si="1"/>
        <v>25593166</v>
      </c>
      <c r="E13" s="809">
        <f t="shared" si="1"/>
        <v>111473166</v>
      </c>
      <c r="F13" s="809">
        <f t="shared" si="1"/>
        <v>57200166</v>
      </c>
      <c r="G13" s="809">
        <f t="shared" si="1"/>
        <v>26073166</v>
      </c>
      <c r="H13" s="809">
        <f t="shared" si="1"/>
        <v>199317345</v>
      </c>
      <c r="I13" s="809">
        <f t="shared" si="1"/>
        <v>74279314</v>
      </c>
      <c r="J13" s="809">
        <f t="shared" si="1"/>
        <v>27308556</v>
      </c>
      <c r="K13" s="809">
        <f t="shared" si="1"/>
        <v>120633508</v>
      </c>
      <c r="L13" s="809">
        <f t="shared" si="1"/>
        <v>25593166</v>
      </c>
      <c r="M13" s="809">
        <f t="shared" si="1"/>
        <v>27593166</v>
      </c>
      <c r="N13" s="809">
        <f t="shared" si="1"/>
        <v>52732395</v>
      </c>
      <c r="O13" s="810">
        <f t="shared" si="1"/>
        <v>919864500</v>
      </c>
    </row>
    <row r="14" spans="1:15" s="796" customFormat="1" ht="15" customHeight="1" thickBot="1">
      <c r="A14" s="801" t="s">
        <v>58</v>
      </c>
      <c r="B14" s="1306" t="s">
        <v>136</v>
      </c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8"/>
    </row>
    <row r="15" spans="1:19" s="805" customFormat="1" ht="13.5" customHeight="1">
      <c r="A15" s="801" t="s">
        <v>405</v>
      </c>
      <c r="B15" s="806" t="s">
        <v>427</v>
      </c>
      <c r="C15" s="807">
        <v>39235515</v>
      </c>
      <c r="D15" s="807">
        <v>39235515</v>
      </c>
      <c r="E15" s="807">
        <v>39235515</v>
      </c>
      <c r="F15" s="807">
        <f>39235515+1957000+190500+76862</f>
        <v>41459877</v>
      </c>
      <c r="G15" s="807">
        <v>39235515</v>
      </c>
      <c r="H15" s="807">
        <f>39235514+3952219</f>
        <v>43187733</v>
      </c>
      <c r="I15" s="807">
        <v>39235515</v>
      </c>
      <c r="J15" s="807">
        <v>39235515</v>
      </c>
      <c r="K15" s="807">
        <f>7811981+39235515</f>
        <v>47047496</v>
      </c>
      <c r="L15" s="807">
        <v>39235515</v>
      </c>
      <c r="M15" s="807">
        <f>39235515+8339300</f>
        <v>47574815</v>
      </c>
      <c r="N15" s="807">
        <f>75930798+39235515</f>
        <v>115166313</v>
      </c>
      <c r="O15" s="811">
        <f>SUM(C15:N15)</f>
        <v>569084839</v>
      </c>
      <c r="S15" s="796"/>
    </row>
    <row r="16" spans="1:15" s="805" customFormat="1" ht="27" customHeight="1">
      <c r="A16" s="801" t="s">
        <v>425</v>
      </c>
      <c r="B16" s="802" t="s">
        <v>429</v>
      </c>
      <c r="C16" s="803">
        <f>1000000+14999</f>
        <v>1014999</v>
      </c>
      <c r="D16" s="803">
        <v>1000000</v>
      </c>
      <c r="E16" s="803">
        <f>635000+347980+144780</f>
        <v>1127760</v>
      </c>
      <c r="F16" s="803">
        <f>396042</f>
        <v>396042</v>
      </c>
      <c r="G16" s="803">
        <f>30000000+1000000</f>
        <v>31000000</v>
      </c>
      <c r="H16" s="803">
        <v>880000</v>
      </c>
      <c r="I16" s="803">
        <v>15000000</v>
      </c>
      <c r="J16" s="803">
        <f>40000000+2658836+1800000</f>
        <v>44458836</v>
      </c>
      <c r="K16" s="803">
        <f>889000+'7.a.sz.m.fejlesztés (3)'!G14</f>
        <v>4028061</v>
      </c>
      <c r="L16" s="803">
        <f>7102670+9000000</f>
        <v>16102670</v>
      </c>
      <c r="M16" s="803">
        <v>21985074</v>
      </c>
      <c r="N16" s="803">
        <f>10000000+'7.a.sz.m.fejlesztés (3)'!G38+'7.a.sz.m.fejlesztés (3)'!G16+'7.a.sz.m.fejlesztés (3)'!G15+8747265</f>
        <v>173140060</v>
      </c>
      <c r="O16" s="804">
        <f>SUM(C16:N16)</f>
        <v>310133502</v>
      </c>
    </row>
    <row r="17" spans="1:19" s="805" customFormat="1" ht="13.5" customHeight="1">
      <c r="A17" s="801" t="s">
        <v>426</v>
      </c>
      <c r="B17" s="802" t="s">
        <v>431</v>
      </c>
      <c r="C17" s="803"/>
      <c r="D17" s="803"/>
      <c r="E17" s="803"/>
      <c r="F17" s="803"/>
      <c r="G17" s="803"/>
      <c r="H17" s="803"/>
      <c r="I17" s="803"/>
      <c r="J17" s="803"/>
      <c r="K17" s="803"/>
      <c r="L17" s="803"/>
      <c r="M17" s="803"/>
      <c r="N17" s="803"/>
      <c r="O17" s="804">
        <f>SUM(C17:N17)</f>
        <v>0</v>
      </c>
      <c r="S17" s="796"/>
    </row>
    <row r="18" spans="1:15" s="805" customFormat="1" ht="13.5" customHeight="1" thickBot="1">
      <c r="A18" s="801" t="s">
        <v>428</v>
      </c>
      <c r="B18" s="802" t="s">
        <v>433</v>
      </c>
      <c r="C18" s="803">
        <f>'1 .sz.m.önk.össz.kiad.'!E33+755935</f>
        <v>8878354</v>
      </c>
      <c r="D18" s="803">
        <f>'1 .sz.m.önk.össz.kiad.'!E32</f>
        <v>29500000</v>
      </c>
      <c r="E18" s="803"/>
      <c r="F18" s="803">
        <f>755935</f>
        <v>755935</v>
      </c>
      <c r="G18" s="803"/>
      <c r="H18" s="803"/>
      <c r="I18" s="803">
        <f>755935</f>
        <v>755935</v>
      </c>
      <c r="J18" s="803"/>
      <c r="K18" s="803"/>
      <c r="L18" s="803">
        <f>755935</f>
        <v>755935</v>
      </c>
      <c r="M18" s="803"/>
      <c r="N18" s="803"/>
      <c r="O18" s="804">
        <f>SUM(C18:N18)</f>
        <v>40646159</v>
      </c>
    </row>
    <row r="19" spans="1:15" s="796" customFormat="1" ht="15.75" customHeight="1" thickBot="1">
      <c r="A19" s="801" t="s">
        <v>430</v>
      </c>
      <c r="B19" s="808" t="s">
        <v>434</v>
      </c>
      <c r="C19" s="809">
        <f aca="true" t="shared" si="2" ref="C19:O19">SUM(C15:C18)</f>
        <v>49128868</v>
      </c>
      <c r="D19" s="809">
        <f t="shared" si="2"/>
        <v>69735515</v>
      </c>
      <c r="E19" s="809">
        <f t="shared" si="2"/>
        <v>40363275</v>
      </c>
      <c r="F19" s="809">
        <f t="shared" si="2"/>
        <v>42611854</v>
      </c>
      <c r="G19" s="809">
        <f t="shared" si="2"/>
        <v>70235515</v>
      </c>
      <c r="H19" s="809">
        <f t="shared" si="2"/>
        <v>44067733</v>
      </c>
      <c r="I19" s="809">
        <f t="shared" si="2"/>
        <v>54991450</v>
      </c>
      <c r="J19" s="809">
        <f t="shared" si="2"/>
        <v>83694351</v>
      </c>
      <c r="K19" s="809">
        <f t="shared" si="2"/>
        <v>51075557</v>
      </c>
      <c r="L19" s="809">
        <f t="shared" si="2"/>
        <v>56094120</v>
      </c>
      <c r="M19" s="809">
        <f t="shared" si="2"/>
        <v>69559889</v>
      </c>
      <c r="N19" s="809">
        <f t="shared" si="2"/>
        <v>288306373</v>
      </c>
      <c r="O19" s="810">
        <f t="shared" si="2"/>
        <v>919864500</v>
      </c>
    </row>
    <row r="20" spans="1:15" ht="16.5" thickBot="1">
      <c r="A20" s="801" t="s">
        <v>432</v>
      </c>
      <c r="B20" s="812" t="s">
        <v>435</v>
      </c>
      <c r="C20" s="813">
        <f>C13-C19</f>
        <v>122938518</v>
      </c>
      <c r="D20" s="813">
        <f>C13+D13-C19-D19</f>
        <v>78796169</v>
      </c>
      <c r="E20" s="813">
        <f>C13+D13+E13-C19-D19-E19</f>
        <v>149906060</v>
      </c>
      <c r="F20" s="813">
        <f>C13+D13+E13+F13-C19-D19-E19-F19</f>
        <v>164494372</v>
      </c>
      <c r="G20" s="813">
        <f>(SUM(C13:G13))-(SUM(C19:G19))</f>
        <v>120332023</v>
      </c>
      <c r="H20" s="813">
        <f>(SUM(C13:H13))-(SUM(C19:H19))</f>
        <v>275581635</v>
      </c>
      <c r="I20" s="813">
        <f>(SUM(C13:I13))-(SUM(C19:I19))</f>
        <v>294869499</v>
      </c>
      <c r="J20" s="813">
        <f>(SUM(C13:J13))-(SUM(C19:J19))</f>
        <v>238483704</v>
      </c>
      <c r="K20" s="813">
        <f>(SUM(C13:K13))-(SUM(C19:K19))</f>
        <v>308041655</v>
      </c>
      <c r="L20" s="813">
        <f>(SUM(C13:L13))-(SUM(C19:L19))</f>
        <v>277540701</v>
      </c>
      <c r="M20" s="813">
        <f>(SUM(C13:M13))-(SUM(C19:M19))</f>
        <v>235573978</v>
      </c>
      <c r="N20" s="813">
        <f>(SUM(C13:N13))-(SUM(C19:N19))</f>
        <v>0</v>
      </c>
      <c r="O20" s="814">
        <f>O13-O19</f>
        <v>0</v>
      </c>
    </row>
    <row r="21" ht="15.75">
      <c r="A21" s="815"/>
    </row>
    <row r="22" spans="2:4" ht="15.75">
      <c r="B22" s="816"/>
      <c r="C22" s="817"/>
      <c r="D22" s="817"/>
    </row>
  </sheetData>
  <sheetProtection/>
  <mergeCells count="4">
    <mergeCell ref="A2:O2"/>
    <mergeCell ref="B5:O5"/>
    <mergeCell ref="B14:O14"/>
    <mergeCell ref="G1:O1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78.57421875" style="559" customWidth="1"/>
    <col min="2" max="2" width="15.7109375" style="559" customWidth="1"/>
    <col min="3" max="3" width="13.140625" style="559" hidden="1" customWidth="1"/>
    <col min="4" max="4" width="13.28125" style="559" hidden="1" customWidth="1"/>
    <col min="5" max="5" width="14.7109375" style="559" hidden="1" customWidth="1"/>
    <col min="6" max="6" width="15.57421875" style="559" hidden="1" customWidth="1"/>
    <col min="7" max="7" width="16.00390625" style="559" customWidth="1"/>
    <col min="8" max="10" width="9.140625" style="559" hidden="1" customWidth="1"/>
    <col min="11" max="11" width="9.8515625" style="559" bestFit="1" customWidth="1"/>
    <col min="12" max="16384" width="9.140625" style="559" customWidth="1"/>
  </cols>
  <sheetData>
    <row r="1" spans="1:7" ht="21" customHeight="1">
      <c r="A1" s="1319" t="s">
        <v>630</v>
      </c>
      <c r="B1" s="1319"/>
      <c r="C1" s="1319"/>
      <c r="D1" s="1319"/>
      <c r="E1" s="1319"/>
      <c r="F1" s="1319"/>
      <c r="G1" s="1319"/>
    </row>
    <row r="2" spans="1:7" s="560" customFormat="1" ht="51.75" customHeight="1">
      <c r="A2" s="1318" t="s">
        <v>623</v>
      </c>
      <c r="B2" s="1318"/>
      <c r="C2" s="1318"/>
      <c r="D2" s="1318"/>
      <c r="E2" s="1318"/>
      <c r="F2" s="1318"/>
      <c r="G2" s="1318"/>
    </row>
    <row r="3" spans="1:7" ht="15.75" customHeight="1" thickBot="1">
      <c r="A3" s="561"/>
      <c r="B3" s="1320" t="s">
        <v>461</v>
      </c>
      <c r="C3" s="1320"/>
      <c r="D3" s="1320"/>
      <c r="E3" s="1320"/>
      <c r="F3" s="1320"/>
      <c r="G3" s="1320"/>
    </row>
    <row r="4" spans="1:10" s="563" customFormat="1" ht="24" customHeight="1" thickBot="1">
      <c r="A4" s="562" t="s">
        <v>254</v>
      </c>
      <c r="B4" s="581" t="s">
        <v>255</v>
      </c>
      <c r="C4" s="581" t="s">
        <v>228</v>
      </c>
      <c r="D4" s="581" t="s">
        <v>233</v>
      </c>
      <c r="E4" s="581" t="s">
        <v>235</v>
      </c>
      <c r="F4" s="581" t="s">
        <v>450</v>
      </c>
      <c r="G4" s="581" t="s">
        <v>455</v>
      </c>
      <c r="H4" s="581" t="s">
        <v>450</v>
      </c>
      <c r="I4" s="581" t="s">
        <v>455</v>
      </c>
      <c r="J4" s="581" t="s">
        <v>445</v>
      </c>
    </row>
    <row r="5" spans="1:10" s="565" customFormat="1" ht="21" customHeight="1">
      <c r="A5" s="564" t="s">
        <v>256</v>
      </c>
      <c r="B5" s="582">
        <v>69459609</v>
      </c>
      <c r="C5" s="582">
        <v>69459609</v>
      </c>
      <c r="D5" s="582">
        <v>69459609</v>
      </c>
      <c r="E5" s="582">
        <v>69459609</v>
      </c>
      <c r="F5" s="582">
        <v>69459609</v>
      </c>
      <c r="G5" s="582">
        <v>69459609</v>
      </c>
      <c r="H5" s="582"/>
      <c r="I5" s="582"/>
      <c r="J5" s="842">
        <f>H5/G5</f>
        <v>0</v>
      </c>
    </row>
    <row r="6" spans="1:10" s="565" customFormat="1" ht="21" customHeight="1">
      <c r="A6" s="566" t="s">
        <v>257</v>
      </c>
      <c r="B6" s="583">
        <v>0</v>
      </c>
      <c r="C6" s="583">
        <v>0</v>
      </c>
      <c r="D6" s="583">
        <v>0</v>
      </c>
      <c r="E6" s="583">
        <v>0</v>
      </c>
      <c r="F6" s="583">
        <v>0</v>
      </c>
      <c r="G6" s="583">
        <v>0</v>
      </c>
      <c r="H6" s="583">
        <v>0</v>
      </c>
      <c r="I6" s="583">
        <v>0</v>
      </c>
      <c r="J6" s="1310"/>
    </row>
    <row r="7" spans="1:10" s="565" customFormat="1" ht="21" customHeight="1">
      <c r="A7" s="566" t="s">
        <v>258</v>
      </c>
      <c r="B7" s="583">
        <v>0</v>
      </c>
      <c r="C7" s="583">
        <v>0</v>
      </c>
      <c r="D7" s="583">
        <v>0</v>
      </c>
      <c r="E7" s="583">
        <v>0</v>
      </c>
      <c r="F7" s="583">
        <v>0</v>
      </c>
      <c r="G7" s="583">
        <v>0</v>
      </c>
      <c r="H7" s="583">
        <v>0</v>
      </c>
      <c r="I7" s="583">
        <v>0</v>
      </c>
      <c r="J7" s="1311"/>
    </row>
    <row r="8" spans="1:10" s="565" customFormat="1" ht="21" customHeight="1">
      <c r="A8" s="566" t="s">
        <v>259</v>
      </c>
      <c r="B8" s="583">
        <v>0</v>
      </c>
      <c r="C8" s="583">
        <v>0</v>
      </c>
      <c r="D8" s="583">
        <v>0</v>
      </c>
      <c r="E8" s="583">
        <v>0</v>
      </c>
      <c r="F8" s="583">
        <v>0</v>
      </c>
      <c r="G8" s="583">
        <v>0</v>
      </c>
      <c r="H8" s="583">
        <v>0</v>
      </c>
      <c r="I8" s="583">
        <v>0</v>
      </c>
      <c r="J8" s="1311"/>
    </row>
    <row r="9" spans="1:10" s="565" customFormat="1" ht="21" customHeight="1">
      <c r="A9" s="567" t="s">
        <v>260</v>
      </c>
      <c r="B9" s="583">
        <v>0</v>
      </c>
      <c r="C9" s="583">
        <v>0</v>
      </c>
      <c r="D9" s="583">
        <v>0</v>
      </c>
      <c r="E9" s="583">
        <v>0</v>
      </c>
      <c r="F9" s="583">
        <v>0</v>
      </c>
      <c r="G9" s="583">
        <v>0</v>
      </c>
      <c r="H9" s="583">
        <v>0</v>
      </c>
      <c r="I9" s="583">
        <v>0</v>
      </c>
      <c r="J9" s="1311"/>
    </row>
    <row r="10" spans="1:10" s="565" customFormat="1" ht="21" customHeight="1">
      <c r="A10" s="564" t="s">
        <v>261</v>
      </c>
      <c r="B10" s="584">
        <f aca="true" t="shared" si="0" ref="B10:I10">SUM(B6:B9)</f>
        <v>0</v>
      </c>
      <c r="C10" s="584">
        <f t="shared" si="0"/>
        <v>0</v>
      </c>
      <c r="D10" s="584">
        <f t="shared" si="0"/>
        <v>0</v>
      </c>
      <c r="E10" s="584">
        <f t="shared" si="0"/>
        <v>0</v>
      </c>
      <c r="F10" s="584">
        <f>SUM(F6:F9)</f>
        <v>0</v>
      </c>
      <c r="G10" s="584">
        <f>SUM(G6:G9)</f>
        <v>0</v>
      </c>
      <c r="H10" s="584">
        <f t="shared" si="0"/>
        <v>0</v>
      </c>
      <c r="I10" s="584">
        <f t="shared" si="0"/>
        <v>0</v>
      </c>
      <c r="J10" s="1311"/>
    </row>
    <row r="11" spans="1:10" s="565" customFormat="1" ht="21" customHeight="1" hidden="1">
      <c r="A11" s="568" t="s">
        <v>262</v>
      </c>
      <c r="B11" s="584"/>
      <c r="C11" s="584"/>
      <c r="D11" s="584"/>
      <c r="E11" s="584"/>
      <c r="F11" s="584"/>
      <c r="G11" s="584"/>
      <c r="H11" s="584"/>
      <c r="I11" s="584"/>
      <c r="J11" s="1311"/>
    </row>
    <row r="12" spans="1:10" s="565" customFormat="1" ht="21" customHeight="1">
      <c r="A12" s="564" t="s">
        <v>344</v>
      </c>
      <c r="B12" s="584">
        <v>0</v>
      </c>
      <c r="C12" s="584">
        <v>0</v>
      </c>
      <c r="D12" s="584">
        <v>0</v>
      </c>
      <c r="E12" s="584">
        <v>0</v>
      </c>
      <c r="F12" s="584">
        <v>0</v>
      </c>
      <c r="G12" s="584">
        <v>0</v>
      </c>
      <c r="H12" s="584">
        <v>0</v>
      </c>
      <c r="I12" s="584">
        <v>0</v>
      </c>
      <c r="J12" s="1311"/>
    </row>
    <row r="13" spans="1:10" s="565" customFormat="1" ht="21" customHeight="1" hidden="1" thickBot="1">
      <c r="A13" s="564" t="s">
        <v>266</v>
      </c>
      <c r="B13" s="615">
        <v>0</v>
      </c>
      <c r="C13" s="615">
        <v>0</v>
      </c>
      <c r="D13" s="615">
        <v>0</v>
      </c>
      <c r="E13" s="615">
        <v>0</v>
      </c>
      <c r="F13" s="615">
        <v>0</v>
      </c>
      <c r="G13" s="615">
        <v>0</v>
      </c>
      <c r="H13" s="615">
        <v>0</v>
      </c>
      <c r="I13" s="615">
        <v>0</v>
      </c>
      <c r="J13" s="1312"/>
    </row>
    <row r="14" spans="1:10" s="565" customFormat="1" ht="21" customHeight="1" thickBot="1">
      <c r="A14" s="865" t="s">
        <v>440</v>
      </c>
      <c r="B14" s="827">
        <v>569468</v>
      </c>
      <c r="C14" s="827">
        <v>569468</v>
      </c>
      <c r="D14" s="827">
        <v>569468</v>
      </c>
      <c r="E14" s="827">
        <v>569468</v>
      </c>
      <c r="F14" s="827">
        <v>569468</v>
      </c>
      <c r="G14" s="827">
        <v>569468</v>
      </c>
      <c r="H14" s="827"/>
      <c r="I14" s="827"/>
      <c r="J14" s="843">
        <f>H14/G14</f>
        <v>0</v>
      </c>
    </row>
    <row r="15" spans="1:10" s="571" customFormat="1" ht="24.75" customHeight="1" thickBot="1">
      <c r="A15" s="570" t="s">
        <v>343</v>
      </c>
      <c r="B15" s="585">
        <f aca="true" t="shared" si="1" ref="B15:I15">B5+B10-B11+B12+B13+B14</f>
        <v>70029077</v>
      </c>
      <c r="C15" s="585">
        <f t="shared" si="1"/>
        <v>70029077</v>
      </c>
      <c r="D15" s="585">
        <f t="shared" si="1"/>
        <v>70029077</v>
      </c>
      <c r="E15" s="585">
        <f t="shared" si="1"/>
        <v>70029077</v>
      </c>
      <c r="F15" s="585">
        <f>F5+F10-F11+F12+F13+F14</f>
        <v>70029077</v>
      </c>
      <c r="G15" s="585">
        <f>G5+G10-G11+G12+G13+G14</f>
        <v>70029077</v>
      </c>
      <c r="H15" s="585">
        <f t="shared" si="1"/>
        <v>0</v>
      </c>
      <c r="I15" s="585">
        <f t="shared" si="1"/>
        <v>0</v>
      </c>
      <c r="J15" s="844">
        <f>H15/G15</f>
        <v>0</v>
      </c>
    </row>
    <row r="16" spans="1:10" ht="24.75" customHeight="1">
      <c r="A16" s="572" t="s">
        <v>263</v>
      </c>
      <c r="B16" s="582">
        <f>18177593+4800000+8939800+2400000+229200+418900</f>
        <v>34965493</v>
      </c>
      <c r="C16" s="582">
        <f>18177593+4800000+8939800+2400000+229200+418900</f>
        <v>34965493</v>
      </c>
      <c r="D16" s="582">
        <f>18177593+4800000+8939800+2400000+229200+418900</f>
        <v>34965493</v>
      </c>
      <c r="E16" s="582">
        <f>18177593+4800000+8939800+2400000+229200+418900+800727</f>
        <v>35766220</v>
      </c>
      <c r="F16" s="582">
        <f>18177593+4800000+8939800+2400000+229200+418900+800727+767984-297993+133454</f>
        <v>36369665</v>
      </c>
      <c r="G16" s="582">
        <f>17879600+4800000+9237793+2400000+236840+1186884+1468000</f>
        <v>37209117</v>
      </c>
      <c r="H16" s="582"/>
      <c r="I16" s="582"/>
      <c r="J16" s="1313"/>
    </row>
    <row r="17" spans="1:10" ht="24.75" customHeight="1" thickBot="1">
      <c r="A17" s="568" t="s">
        <v>264</v>
      </c>
      <c r="B17" s="584">
        <f>3431400+1688467</f>
        <v>5119867</v>
      </c>
      <c r="C17" s="584">
        <f>3431400+1688467</f>
        <v>5119867</v>
      </c>
      <c r="D17" s="584">
        <f>3431400+1688467</f>
        <v>5119867</v>
      </c>
      <c r="E17" s="584">
        <f>3431400+1688467</f>
        <v>5119867</v>
      </c>
      <c r="F17" s="584">
        <f>3431400+1688467-27234</f>
        <v>5092633</v>
      </c>
      <c r="G17" s="584">
        <f>3376933+1770167</f>
        <v>5147100</v>
      </c>
      <c r="H17" s="584"/>
      <c r="I17" s="584"/>
      <c r="J17" s="1314"/>
    </row>
    <row r="18" spans="1:12" s="571" customFormat="1" ht="24.75" customHeight="1" thickBot="1">
      <c r="A18" s="573" t="s">
        <v>345</v>
      </c>
      <c r="B18" s="586">
        <f aca="true" t="shared" si="2" ref="B18:I18">SUM(B16:B17)</f>
        <v>40085360</v>
      </c>
      <c r="C18" s="586">
        <f t="shared" si="2"/>
        <v>40085360</v>
      </c>
      <c r="D18" s="586">
        <f t="shared" si="2"/>
        <v>40085360</v>
      </c>
      <c r="E18" s="586">
        <f t="shared" si="2"/>
        <v>40886087</v>
      </c>
      <c r="F18" s="586">
        <f>SUM(F16:F17)</f>
        <v>41462298</v>
      </c>
      <c r="G18" s="586">
        <f>SUM(G16:G17)</f>
        <v>42356217</v>
      </c>
      <c r="H18" s="586">
        <f t="shared" si="2"/>
        <v>0</v>
      </c>
      <c r="I18" s="586">
        <f t="shared" si="2"/>
        <v>0</v>
      </c>
      <c r="J18" s="845">
        <f>H18/G18</f>
        <v>0</v>
      </c>
      <c r="L18" s="1070"/>
    </row>
    <row r="19" spans="1:10" ht="24.75" customHeight="1" hidden="1">
      <c r="A19" s="574" t="s">
        <v>265</v>
      </c>
      <c r="B19" s="587">
        <v>0</v>
      </c>
      <c r="C19" s="587">
        <v>0</v>
      </c>
      <c r="D19" s="587">
        <v>0</v>
      </c>
      <c r="E19" s="587">
        <v>0</v>
      </c>
      <c r="F19" s="587">
        <v>0</v>
      </c>
      <c r="G19" s="587">
        <v>0</v>
      </c>
      <c r="H19" s="587"/>
      <c r="I19" s="587"/>
      <c r="J19" s="1315"/>
    </row>
    <row r="20" spans="1:10" ht="24.75" customHeight="1">
      <c r="A20" s="566" t="s">
        <v>470</v>
      </c>
      <c r="B20" s="588">
        <v>18000000</v>
      </c>
      <c r="C20" s="588">
        <v>18000000</v>
      </c>
      <c r="D20" s="588">
        <v>18000000</v>
      </c>
      <c r="E20" s="588">
        <v>18000000</v>
      </c>
      <c r="F20" s="588">
        <v>18000000</v>
      </c>
      <c r="G20" s="588">
        <v>18000000</v>
      </c>
      <c r="H20" s="588"/>
      <c r="I20" s="588"/>
      <c r="J20" s="1316"/>
    </row>
    <row r="21" spans="1:10" ht="24.75" customHeight="1" hidden="1">
      <c r="A21" s="567" t="s">
        <v>267</v>
      </c>
      <c r="B21" s="588"/>
      <c r="C21" s="588"/>
      <c r="D21" s="588"/>
      <c r="E21" s="588"/>
      <c r="F21" s="588"/>
      <c r="G21" s="588"/>
      <c r="H21" s="588"/>
      <c r="I21" s="588"/>
      <c r="J21" s="1316"/>
    </row>
    <row r="22" spans="1:10" ht="24.75" customHeight="1">
      <c r="A22" s="566" t="s">
        <v>471</v>
      </c>
      <c r="B22" s="588">
        <v>17964320</v>
      </c>
      <c r="C22" s="588">
        <v>17964320</v>
      </c>
      <c r="D22" s="588">
        <v>17964320</v>
      </c>
      <c r="E22" s="588">
        <v>17964320</v>
      </c>
      <c r="F22" s="588">
        <f>-913440+17964320</f>
        <v>17050880</v>
      </c>
      <c r="G22" s="1104">
        <v>15832960</v>
      </c>
      <c r="H22" s="588"/>
      <c r="I22" s="588"/>
      <c r="J22" s="1316"/>
    </row>
    <row r="23" spans="1:10" ht="24.75" customHeight="1">
      <c r="A23" s="566" t="s">
        <v>552</v>
      </c>
      <c r="B23" s="588">
        <v>2500000</v>
      </c>
      <c r="C23" s="588">
        <v>2500000</v>
      </c>
      <c r="D23" s="588">
        <v>2500000</v>
      </c>
      <c r="E23" s="588">
        <v>2500000</v>
      </c>
      <c r="F23" s="588">
        <v>2500000</v>
      </c>
      <c r="G23" s="588">
        <v>500000</v>
      </c>
      <c r="H23" s="588"/>
      <c r="I23" s="588"/>
      <c r="J23" s="1316"/>
    </row>
    <row r="24" spans="1:10" ht="24.75" customHeight="1">
      <c r="A24" s="566" t="s">
        <v>553</v>
      </c>
      <c r="B24" s="588">
        <v>34125000</v>
      </c>
      <c r="C24" s="588">
        <v>34125000</v>
      </c>
      <c r="D24" s="588">
        <v>34125000</v>
      </c>
      <c r="E24" s="588">
        <v>34125000</v>
      </c>
      <c r="F24" s="588">
        <f>6690000+34125000</f>
        <v>40815000</v>
      </c>
      <c r="G24" s="588">
        <v>42315000</v>
      </c>
      <c r="H24" s="588"/>
      <c r="I24" s="588"/>
      <c r="J24" s="1316"/>
    </row>
    <row r="25" spans="1:10" ht="24.75" customHeight="1">
      <c r="A25" s="567" t="s">
        <v>554</v>
      </c>
      <c r="B25" s="588">
        <v>7646600</v>
      </c>
      <c r="C25" s="588">
        <v>7646600</v>
      </c>
      <c r="D25" s="588">
        <v>7646600</v>
      </c>
      <c r="E25" s="588">
        <v>7646600</v>
      </c>
      <c r="F25" s="588">
        <f>-1349400+7646600</f>
        <v>6297200</v>
      </c>
      <c r="G25" s="588">
        <v>6297200</v>
      </c>
      <c r="H25" s="588"/>
      <c r="I25" s="588"/>
      <c r="J25" s="1316"/>
    </row>
    <row r="26" spans="1:10" ht="24.75" customHeight="1">
      <c r="A26" s="567" t="s">
        <v>472</v>
      </c>
      <c r="B26" s="588">
        <v>2452500</v>
      </c>
      <c r="C26" s="588">
        <v>2452500</v>
      </c>
      <c r="D26" s="588">
        <v>2452500</v>
      </c>
      <c r="E26" s="588">
        <v>2452500</v>
      </c>
      <c r="F26" s="588">
        <v>2452500</v>
      </c>
      <c r="G26" s="588">
        <v>2289000</v>
      </c>
      <c r="H26" s="588"/>
      <c r="I26" s="588"/>
      <c r="J26" s="1316"/>
    </row>
    <row r="27" spans="1:10" ht="24.75" customHeight="1">
      <c r="A27" s="868" t="s">
        <v>555</v>
      </c>
      <c r="B27" s="588">
        <v>2000000</v>
      </c>
      <c r="C27" s="588">
        <v>2000000</v>
      </c>
      <c r="D27" s="588">
        <v>2000000</v>
      </c>
      <c r="E27" s="588">
        <v>2000000</v>
      </c>
      <c r="F27" s="588">
        <v>2000000</v>
      </c>
      <c r="G27" s="588">
        <v>2000000</v>
      </c>
      <c r="H27" s="588"/>
      <c r="I27" s="588"/>
      <c r="J27" s="1316"/>
    </row>
    <row r="28" spans="1:10" ht="32.25" customHeight="1">
      <c r="A28" s="869" t="s">
        <v>556</v>
      </c>
      <c r="B28" s="588">
        <v>5400000</v>
      </c>
      <c r="C28" s="588">
        <v>5400000</v>
      </c>
      <c r="D28" s="588">
        <v>5400000</v>
      </c>
      <c r="E28" s="588">
        <v>5400000</v>
      </c>
      <c r="F28" s="588">
        <v>5400000</v>
      </c>
      <c r="G28" s="588">
        <v>5400000</v>
      </c>
      <c r="H28" s="588"/>
      <c r="I28" s="588"/>
      <c r="J28" s="1316"/>
    </row>
    <row r="29" spans="1:10" s="575" customFormat="1" ht="24.75" customHeight="1">
      <c r="A29" s="610" t="s">
        <v>268</v>
      </c>
      <c r="B29" s="611">
        <f aca="true" t="shared" si="3" ref="B29:G29">SUM(B20,B22:B28)</f>
        <v>90088420</v>
      </c>
      <c r="C29" s="611">
        <f t="shared" si="3"/>
        <v>90088420</v>
      </c>
      <c r="D29" s="611">
        <f t="shared" si="3"/>
        <v>90088420</v>
      </c>
      <c r="E29" s="611">
        <f t="shared" si="3"/>
        <v>90088420</v>
      </c>
      <c r="F29" s="611">
        <f t="shared" si="3"/>
        <v>94515580</v>
      </c>
      <c r="G29" s="611">
        <f t="shared" si="3"/>
        <v>92634160</v>
      </c>
      <c r="H29" s="611">
        <f>SUM(H20,H22:H25)</f>
        <v>0</v>
      </c>
      <c r="I29" s="611">
        <f>SUM(I20,I22:I25)</f>
        <v>0</v>
      </c>
      <c r="J29" s="1316"/>
    </row>
    <row r="30" spans="1:10" s="575" customFormat="1" ht="24.75" customHeight="1">
      <c r="A30" s="612" t="s">
        <v>348</v>
      </c>
      <c r="B30" s="588">
        <v>10118400</v>
      </c>
      <c r="C30" s="588">
        <v>10118400</v>
      </c>
      <c r="D30" s="588">
        <v>10118400</v>
      </c>
      <c r="E30" s="588">
        <v>10118400</v>
      </c>
      <c r="F30" s="588">
        <v>10118400</v>
      </c>
      <c r="G30" s="588">
        <f>767040+10118400</f>
        <v>10885440</v>
      </c>
      <c r="H30" s="588"/>
      <c r="I30" s="588"/>
      <c r="J30" s="1316"/>
    </row>
    <row r="31" spans="1:10" s="575" customFormat="1" ht="24.75" customHeight="1">
      <c r="A31" s="612" t="s">
        <v>347</v>
      </c>
      <c r="B31" s="588">
        <v>3783935</v>
      </c>
      <c r="C31" s="588">
        <v>3783935</v>
      </c>
      <c r="D31" s="588">
        <v>3783935</v>
      </c>
      <c r="E31" s="588">
        <v>3783935</v>
      </c>
      <c r="F31" s="588">
        <v>3783935</v>
      </c>
      <c r="G31" s="588">
        <f>3783935-521346</f>
        <v>3262589</v>
      </c>
      <c r="H31" s="588"/>
      <c r="I31" s="588"/>
      <c r="J31" s="1316"/>
    </row>
    <row r="32" spans="1:10" s="575" customFormat="1" ht="24.75" customHeight="1">
      <c r="A32" s="866" t="s">
        <v>473</v>
      </c>
      <c r="B32" s="867">
        <v>143640</v>
      </c>
      <c r="C32" s="867">
        <v>143640</v>
      </c>
      <c r="D32" s="867">
        <v>143640</v>
      </c>
      <c r="E32" s="867">
        <v>143640</v>
      </c>
      <c r="F32" s="867">
        <f>-4560+143640</f>
        <v>139080</v>
      </c>
      <c r="G32" s="867">
        <v>18240</v>
      </c>
      <c r="H32" s="867"/>
      <c r="I32" s="867"/>
      <c r="J32" s="1316"/>
    </row>
    <row r="33" spans="1:10" s="575" customFormat="1" ht="24.75" customHeight="1" thickBot="1">
      <c r="A33" s="613" t="s">
        <v>346</v>
      </c>
      <c r="B33" s="614">
        <f aca="true" t="shared" si="4" ref="B33:G33">SUM(B30:B32)</f>
        <v>14045975</v>
      </c>
      <c r="C33" s="614">
        <f t="shared" si="4"/>
        <v>14045975</v>
      </c>
      <c r="D33" s="614">
        <f t="shared" si="4"/>
        <v>14045975</v>
      </c>
      <c r="E33" s="614">
        <f t="shared" si="4"/>
        <v>14045975</v>
      </c>
      <c r="F33" s="614">
        <f t="shared" si="4"/>
        <v>14041415</v>
      </c>
      <c r="G33" s="614">
        <f t="shared" si="4"/>
        <v>14166269</v>
      </c>
      <c r="H33" s="614">
        <f>SUM(H30:H31)</f>
        <v>0</v>
      </c>
      <c r="I33" s="614">
        <f>SUM(I30:I31)</f>
        <v>0</v>
      </c>
      <c r="J33" s="1316"/>
    </row>
    <row r="34" spans="1:10" s="575" customFormat="1" ht="24.75" customHeight="1" thickBot="1">
      <c r="A34" s="828" t="s">
        <v>568</v>
      </c>
      <c r="B34" s="829"/>
      <c r="C34" s="829">
        <f>1201788+1105977</f>
        <v>2307765</v>
      </c>
      <c r="D34" s="829">
        <f>1201788+1105977+4767278</f>
        <v>7075043</v>
      </c>
      <c r="E34" s="829">
        <f>1201788+1105977+4767278+1515184</f>
        <v>8590227</v>
      </c>
      <c r="F34" s="829">
        <f>2966139+1201788+1105977+4767278+1515184</f>
        <v>11556366</v>
      </c>
      <c r="G34" s="829">
        <v>17308283</v>
      </c>
      <c r="H34" s="829"/>
      <c r="I34" s="829"/>
      <c r="J34" s="1317"/>
    </row>
    <row r="35" spans="1:10" s="575" customFormat="1" ht="24.75" customHeight="1" hidden="1" thickBot="1">
      <c r="A35" s="828"/>
      <c r="B35" s="829"/>
      <c r="C35" s="829"/>
      <c r="D35" s="829"/>
      <c r="E35" s="829"/>
      <c r="F35" s="829"/>
      <c r="G35" s="829"/>
      <c r="H35" s="829"/>
      <c r="I35" s="829"/>
      <c r="J35" s="871"/>
    </row>
    <row r="36" spans="1:10" s="576" customFormat="1" ht="24.75" customHeight="1" thickBot="1">
      <c r="A36" s="573" t="s">
        <v>349</v>
      </c>
      <c r="B36" s="586">
        <f>B19+B29+B33</f>
        <v>104134395</v>
      </c>
      <c r="C36" s="586">
        <f aca="true" t="shared" si="5" ref="C36:I36">C19+C29+C33+C34</f>
        <v>106442160</v>
      </c>
      <c r="D36" s="586">
        <f t="shared" si="5"/>
        <v>111209438</v>
      </c>
      <c r="E36" s="586">
        <f t="shared" si="5"/>
        <v>112724622</v>
      </c>
      <c r="F36" s="586">
        <f t="shared" si="5"/>
        <v>120113361</v>
      </c>
      <c r="G36" s="1072">
        <f t="shared" si="5"/>
        <v>124108712</v>
      </c>
      <c r="H36" s="586">
        <f t="shared" si="5"/>
        <v>0</v>
      </c>
      <c r="I36" s="586">
        <f t="shared" si="5"/>
        <v>0</v>
      </c>
      <c r="J36" s="845">
        <f>H36/G36</f>
        <v>0</v>
      </c>
    </row>
    <row r="37" spans="1:11" s="575" customFormat="1" ht="24.75" customHeight="1" thickBot="1">
      <c r="A37" s="577" t="s">
        <v>350</v>
      </c>
      <c r="B37" s="589">
        <v>3057480</v>
      </c>
      <c r="C37" s="589">
        <v>3057480</v>
      </c>
      <c r="D37" s="589">
        <v>3057480</v>
      </c>
      <c r="E37" s="589">
        <v>3057480</v>
      </c>
      <c r="F37" s="589">
        <v>3057480</v>
      </c>
      <c r="G37" s="589">
        <v>3057480</v>
      </c>
      <c r="H37" s="589"/>
      <c r="I37" s="589"/>
      <c r="J37" s="846">
        <f>H37/G37</f>
        <v>0</v>
      </c>
      <c r="K37" s="1068"/>
    </row>
    <row r="38" spans="1:10" ht="24.75" customHeight="1" hidden="1">
      <c r="A38" s="568" t="s">
        <v>269</v>
      </c>
      <c r="B38" s="590"/>
      <c r="C38" s="590"/>
      <c r="D38" s="590"/>
      <c r="E38" s="590"/>
      <c r="F38" s="590"/>
      <c r="G38" s="590"/>
      <c r="H38" s="590"/>
      <c r="I38" s="590"/>
      <c r="J38" s="847"/>
    </row>
    <row r="39" spans="1:10" ht="24.75" customHeight="1" hidden="1">
      <c r="A39" s="569" t="s">
        <v>353</v>
      </c>
      <c r="B39" s="591"/>
      <c r="C39" s="591"/>
      <c r="D39" s="591"/>
      <c r="E39" s="591"/>
      <c r="F39" s="591"/>
      <c r="G39" s="591"/>
      <c r="H39" s="591"/>
      <c r="I39" s="591"/>
      <c r="J39" s="848"/>
    </row>
    <row r="40" spans="1:10" ht="24.75" customHeight="1" hidden="1">
      <c r="A40" s="868" t="s">
        <v>555</v>
      </c>
      <c r="B40" s="786"/>
      <c r="C40" s="786"/>
      <c r="D40" s="786"/>
      <c r="E40" s="786"/>
      <c r="F40" s="786"/>
      <c r="G40" s="786"/>
      <c r="H40" s="591"/>
      <c r="I40" s="591"/>
      <c r="J40" s="848"/>
    </row>
    <row r="41" spans="1:10" ht="33.75" customHeight="1" hidden="1">
      <c r="A41" s="869" t="s">
        <v>556</v>
      </c>
      <c r="B41" s="786"/>
      <c r="C41" s="786"/>
      <c r="D41" s="786"/>
      <c r="E41" s="786"/>
      <c r="F41" s="786"/>
      <c r="G41" s="786"/>
      <c r="H41" s="591"/>
      <c r="I41" s="591"/>
      <c r="J41" s="848"/>
    </row>
    <row r="42" spans="1:10" ht="24.75" customHeight="1" hidden="1">
      <c r="A42" s="569" t="s">
        <v>557</v>
      </c>
      <c r="B42" s="591">
        <f aca="true" t="shared" si="6" ref="B42:G42">SUM(B40:B41)</f>
        <v>0</v>
      </c>
      <c r="C42" s="591">
        <f t="shared" si="6"/>
        <v>0</v>
      </c>
      <c r="D42" s="591">
        <f t="shared" si="6"/>
        <v>0</v>
      </c>
      <c r="E42" s="591">
        <f t="shared" si="6"/>
        <v>0</v>
      </c>
      <c r="F42" s="591">
        <f t="shared" si="6"/>
        <v>0</v>
      </c>
      <c r="G42" s="591">
        <f t="shared" si="6"/>
        <v>0</v>
      </c>
      <c r="H42" s="591"/>
      <c r="I42" s="591"/>
      <c r="J42" s="848"/>
    </row>
    <row r="43" spans="1:11" ht="24.75" customHeight="1">
      <c r="A43" s="569" t="s">
        <v>486</v>
      </c>
      <c r="B43" s="591"/>
      <c r="C43" s="591"/>
      <c r="D43" s="591">
        <v>2175574</v>
      </c>
      <c r="E43" s="591">
        <v>2175574</v>
      </c>
      <c r="F43" s="591">
        <f>1032242+2175574</f>
        <v>3207816</v>
      </c>
      <c r="G43" s="591">
        <v>3907050</v>
      </c>
      <c r="H43" s="591"/>
      <c r="I43" s="591"/>
      <c r="J43" s="848">
        <f>H43/G43</f>
        <v>0</v>
      </c>
      <c r="K43" s="870"/>
    </row>
    <row r="44" spans="1:10" ht="24.75" customHeight="1">
      <c r="A44" s="569" t="s">
        <v>580</v>
      </c>
      <c r="B44" s="591"/>
      <c r="C44" s="591"/>
      <c r="D44" s="591">
        <v>283506</v>
      </c>
      <c r="E44" s="591">
        <f>283506+74420</f>
        <v>357926</v>
      </c>
      <c r="F44" s="591">
        <f>283506+74420+148842</f>
        <v>506768</v>
      </c>
      <c r="G44" s="591">
        <v>804454</v>
      </c>
      <c r="H44" s="591"/>
      <c r="I44" s="591"/>
      <c r="J44" s="848"/>
    </row>
    <row r="45" spans="1:10" ht="42" customHeight="1">
      <c r="A45" s="1060" t="s">
        <v>588</v>
      </c>
      <c r="B45" s="591"/>
      <c r="C45" s="591"/>
      <c r="D45" s="591"/>
      <c r="E45" s="591">
        <v>8686148</v>
      </c>
      <c r="F45" s="591">
        <f>2895383+8686148</f>
        <v>11581531</v>
      </c>
      <c r="G45" s="591">
        <v>14476914</v>
      </c>
      <c r="H45" s="591"/>
      <c r="I45" s="591"/>
      <c r="J45" s="848"/>
    </row>
    <row r="46" spans="1:10" ht="24.75" customHeight="1">
      <c r="A46" s="569" t="s">
        <v>621</v>
      </c>
      <c r="B46" s="591"/>
      <c r="C46" s="591"/>
      <c r="D46" s="591"/>
      <c r="E46" s="591"/>
      <c r="F46" s="591"/>
      <c r="G46" s="591">
        <v>2115820</v>
      </c>
      <c r="H46" s="591"/>
      <c r="I46" s="591"/>
      <c r="J46" s="848"/>
    </row>
    <row r="47" spans="1:10" ht="24.75" customHeight="1" hidden="1">
      <c r="A47" s="569" t="s">
        <v>622</v>
      </c>
      <c r="B47" s="591"/>
      <c r="C47" s="591"/>
      <c r="D47" s="591"/>
      <c r="E47" s="591"/>
      <c r="F47" s="591"/>
      <c r="G47" s="1071"/>
      <c r="H47" s="591"/>
      <c r="I47" s="591"/>
      <c r="J47" s="848"/>
    </row>
    <row r="48" spans="1:10" ht="24.75" customHeight="1" hidden="1">
      <c r="A48" s="569" t="s">
        <v>449</v>
      </c>
      <c r="B48" s="591"/>
      <c r="C48" s="591"/>
      <c r="D48" s="591"/>
      <c r="E48" s="591"/>
      <c r="F48" s="591"/>
      <c r="G48" s="591"/>
      <c r="H48" s="591"/>
      <c r="I48" s="591"/>
      <c r="J48" s="848" t="e">
        <f>H48/G48</f>
        <v>#DIV/0!</v>
      </c>
    </row>
    <row r="49" spans="1:10" ht="24.75" customHeight="1" hidden="1">
      <c r="A49" s="569" t="s">
        <v>448</v>
      </c>
      <c r="B49" s="591"/>
      <c r="C49" s="591"/>
      <c r="D49" s="591"/>
      <c r="E49" s="591"/>
      <c r="F49" s="591"/>
      <c r="G49" s="591"/>
      <c r="H49" s="591"/>
      <c r="I49" s="591"/>
      <c r="J49" s="848" t="e">
        <f>H49/G49</f>
        <v>#DIV/0!</v>
      </c>
    </row>
    <row r="50" spans="1:10" ht="24.75" customHeight="1" hidden="1">
      <c r="A50" s="569" t="s">
        <v>452</v>
      </c>
      <c r="B50" s="591"/>
      <c r="C50" s="591"/>
      <c r="D50" s="591"/>
      <c r="E50" s="591"/>
      <c r="F50" s="591"/>
      <c r="G50" s="591"/>
      <c r="H50" s="591"/>
      <c r="I50" s="591"/>
      <c r="J50" s="848"/>
    </row>
    <row r="51" spans="1:10" ht="24.75" customHeight="1" hidden="1">
      <c r="A51" s="569" t="s">
        <v>519</v>
      </c>
      <c r="B51" s="591"/>
      <c r="C51" s="591"/>
      <c r="D51" s="591"/>
      <c r="E51" s="591"/>
      <c r="F51" s="591"/>
      <c r="G51" s="591"/>
      <c r="H51" s="591"/>
      <c r="I51" s="591"/>
      <c r="J51" s="848"/>
    </row>
    <row r="52" spans="1:10" ht="24.75" customHeight="1" hidden="1">
      <c r="A52" s="569" t="s">
        <v>520</v>
      </c>
      <c r="B52" s="591"/>
      <c r="C52" s="591"/>
      <c r="D52" s="591"/>
      <c r="E52" s="591"/>
      <c r="F52" s="591"/>
      <c r="G52" s="591"/>
      <c r="H52" s="591"/>
      <c r="I52" s="591"/>
      <c r="J52" s="848"/>
    </row>
    <row r="53" spans="1:12" s="579" customFormat="1" ht="26.25" customHeight="1" thickBot="1">
      <c r="A53" s="578" t="s">
        <v>25</v>
      </c>
      <c r="B53" s="592">
        <f>B15+B18+B36+B37+B42</f>
        <v>217306312</v>
      </c>
      <c r="C53" s="592">
        <f>C15+C18+C36+C37+C42</f>
        <v>219614077</v>
      </c>
      <c r="D53" s="592">
        <f>D15+D18+D36+D37+D42+D43+D44</f>
        <v>226840435</v>
      </c>
      <c r="E53" s="592">
        <f>E15+E18+E36+E37+E42+E43+E44+E45</f>
        <v>237916914</v>
      </c>
      <c r="F53" s="592">
        <f>F15+F18+F36+F37+F42+F43+F44+F45</f>
        <v>249958331</v>
      </c>
      <c r="G53" s="592">
        <f>G15+G18+G36+G37+G42+G43+G44+G45+G46+G47</f>
        <v>260855724</v>
      </c>
      <c r="H53" s="592">
        <f>H15+H18+H36+H37+H42</f>
        <v>0</v>
      </c>
      <c r="I53" s="592">
        <f>I15+I18+I36+I37+I42</f>
        <v>0</v>
      </c>
      <c r="J53" s="592">
        <f>J15+J18+J36+J37+J42</f>
        <v>0</v>
      </c>
      <c r="K53" s="1069"/>
      <c r="L53" s="1069"/>
    </row>
    <row r="54" ht="15" hidden="1">
      <c r="B54" s="870">
        <f>'3.sz.m Önk  bev.'!E33</f>
        <v>217306312</v>
      </c>
    </row>
    <row r="55" spans="1:2" ht="15" hidden="1">
      <c r="A55" s="580"/>
      <c r="B55" s="870">
        <f>B53-B54</f>
        <v>0</v>
      </c>
    </row>
    <row r="56" spans="2:3" ht="15">
      <c r="B56" s="870"/>
      <c r="C56" s="870"/>
    </row>
    <row r="57" spans="4:7" ht="15">
      <c r="D57" s="870"/>
      <c r="E57" s="870"/>
      <c r="F57" s="870"/>
      <c r="G57" s="870"/>
    </row>
    <row r="58" ht="15">
      <c r="G58" s="870"/>
    </row>
  </sheetData>
  <sheetProtection/>
  <mergeCells count="6">
    <mergeCell ref="J6:J13"/>
    <mergeCell ref="J16:J17"/>
    <mergeCell ref="J19:J34"/>
    <mergeCell ref="A2:G2"/>
    <mergeCell ref="A1:G1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313" customWidth="1"/>
    <col min="2" max="2" width="8.28125" style="307" customWidth="1"/>
    <col min="3" max="3" width="52.00390625" style="307" customWidth="1"/>
    <col min="4" max="6" width="8.28125" style="307" bestFit="1" customWidth="1"/>
    <col min="7" max="7" width="7.421875" style="307" bestFit="1" customWidth="1"/>
    <col min="8" max="8" width="8.421875" style="307" bestFit="1" customWidth="1"/>
    <col min="9" max="9" width="8.8515625" style="307" hidden="1" customWidth="1"/>
    <col min="10" max="12" width="8.28125" style="307" bestFit="1" customWidth="1"/>
    <col min="13" max="13" width="7.421875" style="307" bestFit="1" customWidth="1"/>
    <col min="14" max="14" width="8.421875" style="307" bestFit="1" customWidth="1"/>
    <col min="15" max="15" width="8.8515625" style="307" hidden="1" customWidth="1"/>
    <col min="16" max="16" width="12.421875" style="307" bestFit="1" customWidth="1"/>
    <col min="17" max="17" width="4.57421875" style="307" hidden="1" customWidth="1"/>
    <col min="18" max="18" width="0" style="307" hidden="1" customWidth="1"/>
    <col min="19" max="19" width="10.00390625" style="307" hidden="1" customWidth="1"/>
    <col min="20" max="20" width="0" style="307" hidden="1" customWidth="1"/>
    <col min="21" max="16384" width="9.140625" style="307" customWidth="1"/>
  </cols>
  <sheetData>
    <row r="1" spans="1:16" s="136" customFormat="1" ht="21" customHeight="1" hidden="1">
      <c r="A1" s="132"/>
      <c r="B1" s="133"/>
      <c r="C1" s="134"/>
      <c r="D1" s="135"/>
      <c r="E1" s="135"/>
      <c r="F1" s="135"/>
      <c r="G1" s="135"/>
      <c r="H1" s="135"/>
      <c r="I1" s="135"/>
      <c r="J1" s="1321"/>
      <c r="K1" s="1321"/>
      <c r="L1" s="1321"/>
      <c r="M1" s="1321"/>
      <c r="N1" s="1321"/>
      <c r="O1" s="1321"/>
      <c r="P1" s="1321"/>
    </row>
    <row r="2" spans="1:16" s="139" customFormat="1" ht="25.5" customHeight="1" hidden="1" thickBot="1">
      <c r="A2" s="1194"/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194"/>
      <c r="O2" s="1194"/>
      <c r="P2" s="1194"/>
    </row>
    <row r="3" spans="1:20" s="142" customFormat="1" ht="40.5" customHeight="1" hidden="1" thickBot="1">
      <c r="A3" s="140"/>
      <c r="B3" s="140"/>
      <c r="C3" s="140"/>
      <c r="D3" s="1201" t="s">
        <v>5</v>
      </c>
      <c r="E3" s="1202"/>
      <c r="F3" s="1202"/>
      <c r="G3" s="1202"/>
      <c r="H3" s="1202"/>
      <c r="I3" s="1203"/>
      <c r="J3" s="1201" t="s">
        <v>105</v>
      </c>
      <c r="K3" s="1202"/>
      <c r="L3" s="1202"/>
      <c r="M3" s="1202"/>
      <c r="N3" s="1202"/>
      <c r="O3" s="1203"/>
      <c r="P3" s="1322" t="s">
        <v>153</v>
      </c>
      <c r="Q3" s="1323"/>
      <c r="R3" s="1323"/>
      <c r="S3" s="1324"/>
      <c r="T3" s="504"/>
    </row>
    <row r="4" spans="1:19" ht="24.75" hidden="1" thickBot="1">
      <c r="A4" s="1192" t="s">
        <v>107</v>
      </c>
      <c r="B4" s="1193"/>
      <c r="C4" s="486" t="s">
        <v>108</v>
      </c>
      <c r="D4" s="476" t="s">
        <v>65</v>
      </c>
      <c r="E4" s="143" t="s">
        <v>229</v>
      </c>
      <c r="F4" s="143" t="s">
        <v>232</v>
      </c>
      <c r="G4" s="143" t="s">
        <v>234</v>
      </c>
      <c r="H4" s="143" t="s">
        <v>248</v>
      </c>
      <c r="I4" s="447" t="s">
        <v>238</v>
      </c>
      <c r="J4" s="476" t="s">
        <v>65</v>
      </c>
      <c r="K4" s="143" t="s">
        <v>229</v>
      </c>
      <c r="L4" s="143" t="s">
        <v>232</v>
      </c>
      <c r="M4" s="143" t="s">
        <v>234</v>
      </c>
      <c r="N4" s="143" t="s">
        <v>248</v>
      </c>
      <c r="O4" s="447" t="s">
        <v>238</v>
      </c>
      <c r="P4" s="476" t="s">
        <v>249</v>
      </c>
      <c r="Q4" s="143" t="s">
        <v>245</v>
      </c>
      <c r="R4" s="143" t="s">
        <v>232</v>
      </c>
      <c r="S4" s="447" t="s">
        <v>232</v>
      </c>
    </row>
    <row r="5" spans="1:19" s="148" customFormat="1" ht="12.75" customHeight="1" hidden="1" thickBot="1">
      <c r="A5" s="145">
        <v>1</v>
      </c>
      <c r="B5" s="146">
        <v>2</v>
      </c>
      <c r="C5" s="297">
        <v>3</v>
      </c>
      <c r="D5" s="145"/>
      <c r="E5" s="146"/>
      <c r="F5" s="146"/>
      <c r="G5" s="146"/>
      <c r="H5" s="146"/>
      <c r="I5" s="147"/>
      <c r="J5" s="145"/>
      <c r="K5" s="146"/>
      <c r="L5" s="146"/>
      <c r="M5" s="146"/>
      <c r="N5" s="146"/>
      <c r="O5" s="147"/>
      <c r="P5" s="145"/>
      <c r="Q5" s="146"/>
      <c r="R5" s="146"/>
      <c r="S5" s="147"/>
    </row>
    <row r="6" spans="1:19" s="148" customFormat="1" ht="15.75" customHeight="1" hidden="1" thickBot="1">
      <c r="A6" s="149"/>
      <c r="B6" s="150"/>
      <c r="C6" s="150" t="s">
        <v>109</v>
      </c>
      <c r="D6" s="453"/>
      <c r="E6" s="213"/>
      <c r="F6" s="213"/>
      <c r="G6" s="213"/>
      <c r="H6" s="213"/>
      <c r="I6" s="278"/>
      <c r="J6" s="453"/>
      <c r="K6" s="213"/>
      <c r="L6" s="213"/>
      <c r="M6" s="213"/>
      <c r="N6" s="213"/>
      <c r="O6" s="278"/>
      <c r="P6" s="453"/>
      <c r="Q6" s="213"/>
      <c r="R6" s="213"/>
      <c r="S6" s="278"/>
    </row>
    <row r="7" spans="1:19" s="154" customFormat="1" ht="12" customHeight="1" hidden="1" thickBot="1">
      <c r="A7" s="145" t="s">
        <v>27</v>
      </c>
      <c r="B7" s="151"/>
      <c r="C7" s="487" t="s">
        <v>110</v>
      </c>
      <c r="D7" s="454"/>
      <c r="E7" s="214"/>
      <c r="F7" s="214"/>
      <c r="G7" s="214"/>
      <c r="H7" s="513"/>
      <c r="I7" s="384"/>
      <c r="J7" s="454"/>
      <c r="K7" s="214"/>
      <c r="L7" s="214"/>
      <c r="M7" s="214"/>
      <c r="N7" s="513"/>
      <c r="O7" s="384"/>
      <c r="P7" s="454"/>
      <c r="Q7" s="214"/>
      <c r="R7" s="214"/>
      <c r="S7" s="153"/>
    </row>
    <row r="8" spans="1:19" s="154" customFormat="1" ht="12" customHeight="1" hidden="1" thickBot="1">
      <c r="A8" s="145" t="s">
        <v>10</v>
      </c>
      <c r="B8" s="151"/>
      <c r="C8" s="487" t="s">
        <v>116</v>
      </c>
      <c r="D8" s="454">
        <f aca="true" t="shared" si="0" ref="D8:M8">SUM(D9:D12)</f>
        <v>0</v>
      </c>
      <c r="E8" s="214">
        <f t="shared" si="0"/>
        <v>0</v>
      </c>
      <c r="F8" s="214">
        <f t="shared" si="0"/>
        <v>0</v>
      </c>
      <c r="G8" s="214">
        <f>SUM(G9:G12)</f>
        <v>0</v>
      </c>
      <c r="H8" s="513">
        <f>SUM(H9:H12)</f>
        <v>0</v>
      </c>
      <c r="I8" s="384"/>
      <c r="J8" s="454">
        <f t="shared" si="0"/>
        <v>0</v>
      </c>
      <c r="K8" s="214">
        <f t="shared" si="0"/>
        <v>0</v>
      </c>
      <c r="L8" s="214">
        <f t="shared" si="0"/>
        <v>0</v>
      </c>
      <c r="M8" s="214">
        <f t="shared" si="0"/>
        <v>0</v>
      </c>
      <c r="N8" s="513" t="s">
        <v>250</v>
      </c>
      <c r="O8" s="384"/>
      <c r="P8" s="454"/>
      <c r="Q8" s="214"/>
      <c r="R8" s="214"/>
      <c r="S8" s="153"/>
    </row>
    <row r="9" spans="1:19" s="160" customFormat="1" ht="12" customHeight="1" hidden="1">
      <c r="A9" s="157"/>
      <c r="B9" s="156" t="s">
        <v>117</v>
      </c>
      <c r="C9" s="466" t="s">
        <v>72</v>
      </c>
      <c r="D9" s="456"/>
      <c r="E9" s="215"/>
      <c r="F9" s="215"/>
      <c r="G9" s="215"/>
      <c r="H9" s="514"/>
      <c r="I9" s="475"/>
      <c r="J9" s="456"/>
      <c r="K9" s="215"/>
      <c r="L9" s="215"/>
      <c r="M9" s="215"/>
      <c r="N9" s="514"/>
      <c r="O9" s="475"/>
      <c r="P9" s="456"/>
      <c r="Q9" s="215"/>
      <c r="R9" s="215"/>
      <c r="S9" s="159"/>
    </row>
    <row r="10" spans="1:19" s="160" customFormat="1" ht="12" customHeight="1" hidden="1">
      <c r="A10" s="157"/>
      <c r="B10" s="156" t="s">
        <v>118</v>
      </c>
      <c r="C10" s="467" t="s">
        <v>119</v>
      </c>
      <c r="D10" s="456"/>
      <c r="E10" s="215"/>
      <c r="F10" s="215"/>
      <c r="G10" s="215"/>
      <c r="H10" s="514"/>
      <c r="I10" s="499"/>
      <c r="J10" s="456"/>
      <c r="K10" s="215"/>
      <c r="L10" s="215"/>
      <c r="M10" s="215"/>
      <c r="N10" s="514"/>
      <c r="O10" s="499"/>
      <c r="P10" s="456"/>
      <c r="Q10" s="215"/>
      <c r="R10" s="215"/>
      <c r="S10" s="159"/>
    </row>
    <row r="11" spans="1:19" s="160" customFormat="1" ht="12" customHeight="1" hidden="1">
      <c r="A11" s="157"/>
      <c r="B11" s="156" t="s">
        <v>120</v>
      </c>
      <c r="C11" s="467" t="s">
        <v>73</v>
      </c>
      <c r="D11" s="456"/>
      <c r="E11" s="215"/>
      <c r="F11" s="215"/>
      <c r="G11" s="215"/>
      <c r="H11" s="514"/>
      <c r="I11" s="499"/>
      <c r="J11" s="456"/>
      <c r="K11" s="215"/>
      <c r="L11" s="215"/>
      <c r="M11" s="215"/>
      <c r="N11" s="514"/>
      <c r="O11" s="499"/>
      <c r="P11" s="456"/>
      <c r="Q11" s="215"/>
      <c r="R11" s="215"/>
      <c r="S11" s="159"/>
    </row>
    <row r="12" spans="1:19" s="160" customFormat="1" ht="12" customHeight="1" hidden="1" thickBot="1">
      <c r="A12" s="157"/>
      <c r="B12" s="156" t="s">
        <v>121</v>
      </c>
      <c r="C12" s="467" t="s">
        <v>119</v>
      </c>
      <c r="D12" s="456"/>
      <c r="E12" s="215"/>
      <c r="F12" s="215"/>
      <c r="G12" s="215"/>
      <c r="H12" s="514"/>
      <c r="I12" s="505"/>
      <c r="J12" s="456"/>
      <c r="K12" s="215"/>
      <c r="L12" s="215"/>
      <c r="M12" s="215"/>
      <c r="N12" s="514"/>
      <c r="O12" s="505"/>
      <c r="P12" s="456"/>
      <c r="Q12" s="215"/>
      <c r="R12" s="215"/>
      <c r="S12" s="159"/>
    </row>
    <row r="13" spans="1:19" s="160" customFormat="1" ht="12" customHeight="1" hidden="1" thickBot="1">
      <c r="A13" s="163" t="s">
        <v>11</v>
      </c>
      <c r="B13" s="164"/>
      <c r="C13" s="465" t="s">
        <v>122</v>
      </c>
      <c r="D13" s="454">
        <f aca="true" t="shared" si="1" ref="D13:M13">SUM(D14:D15)</f>
        <v>0</v>
      </c>
      <c r="E13" s="214">
        <f t="shared" si="1"/>
        <v>0</v>
      </c>
      <c r="F13" s="214">
        <f t="shared" si="1"/>
        <v>0</v>
      </c>
      <c r="G13" s="214">
        <f>SUM(G14:G15)</f>
        <v>0</v>
      </c>
      <c r="H13" s="513"/>
      <c r="I13" s="384"/>
      <c r="J13" s="454">
        <f t="shared" si="1"/>
        <v>0</v>
      </c>
      <c r="K13" s="214">
        <f t="shared" si="1"/>
        <v>0</v>
      </c>
      <c r="L13" s="214">
        <f t="shared" si="1"/>
        <v>0</v>
      </c>
      <c r="M13" s="214">
        <f t="shared" si="1"/>
        <v>0</v>
      </c>
      <c r="N13" s="513"/>
      <c r="O13" s="384"/>
      <c r="P13" s="454"/>
      <c r="Q13" s="214"/>
      <c r="R13" s="214"/>
      <c r="S13" s="153"/>
    </row>
    <row r="14" spans="1:19" s="154" customFormat="1" ht="12" customHeight="1" hidden="1">
      <c r="A14" s="165"/>
      <c r="B14" s="166" t="s">
        <v>123</v>
      </c>
      <c r="C14" s="488" t="s">
        <v>124</v>
      </c>
      <c r="D14" s="457"/>
      <c r="E14" s="216"/>
      <c r="F14" s="216"/>
      <c r="G14" s="216"/>
      <c r="H14" s="515"/>
      <c r="I14" s="475"/>
      <c r="J14" s="457"/>
      <c r="K14" s="216"/>
      <c r="L14" s="216"/>
      <c r="M14" s="216"/>
      <c r="N14" s="515"/>
      <c r="O14" s="475"/>
      <c r="P14" s="457"/>
      <c r="Q14" s="216"/>
      <c r="R14" s="216"/>
      <c r="S14" s="168"/>
    </row>
    <row r="15" spans="1:19" s="154" customFormat="1" ht="12" customHeight="1" hidden="1" thickBot="1">
      <c r="A15" s="169"/>
      <c r="B15" s="170" t="s">
        <v>125</v>
      </c>
      <c r="C15" s="489" t="s">
        <v>126</v>
      </c>
      <c r="D15" s="458"/>
      <c r="E15" s="217"/>
      <c r="F15" s="217"/>
      <c r="G15" s="217"/>
      <c r="H15" s="516"/>
      <c r="I15" s="505"/>
      <c r="J15" s="458"/>
      <c r="K15" s="217"/>
      <c r="L15" s="217"/>
      <c r="M15" s="217"/>
      <c r="N15" s="516"/>
      <c r="O15" s="505"/>
      <c r="P15" s="458"/>
      <c r="Q15" s="217"/>
      <c r="R15" s="217"/>
      <c r="S15" s="172"/>
    </row>
    <row r="16" spans="1:19" s="154" customFormat="1" ht="12" customHeight="1" hidden="1" thickBot="1">
      <c r="A16" s="163" t="s">
        <v>12</v>
      </c>
      <c r="B16" s="151"/>
      <c r="C16" s="465" t="s">
        <v>127</v>
      </c>
      <c r="D16" s="459"/>
      <c r="E16" s="218"/>
      <c r="F16" s="218"/>
      <c r="G16" s="218"/>
      <c r="H16" s="517"/>
      <c r="I16" s="384"/>
      <c r="J16" s="459"/>
      <c r="K16" s="218"/>
      <c r="L16" s="218"/>
      <c r="M16" s="218"/>
      <c r="N16" s="517" t="s">
        <v>250</v>
      </c>
      <c r="O16" s="384"/>
      <c r="P16" s="459"/>
      <c r="Q16" s="218"/>
      <c r="R16" s="218"/>
      <c r="S16" s="173"/>
    </row>
    <row r="17" spans="1:19" s="154" customFormat="1" ht="12" customHeight="1" hidden="1" thickBot="1">
      <c r="A17" s="145" t="s">
        <v>13</v>
      </c>
      <c r="B17" s="174"/>
      <c r="C17" s="465" t="s">
        <v>128</v>
      </c>
      <c r="D17" s="454">
        <f aca="true" t="shared" si="2" ref="D17:M17">D7+D8+D13+D16</f>
        <v>0</v>
      </c>
      <c r="E17" s="214">
        <f t="shared" si="2"/>
        <v>0</v>
      </c>
      <c r="F17" s="214">
        <f t="shared" si="2"/>
        <v>0</v>
      </c>
      <c r="G17" s="214">
        <f t="shared" si="2"/>
        <v>0</v>
      </c>
      <c r="H17" s="513" t="s">
        <v>250</v>
      </c>
      <c r="I17" s="384"/>
      <c r="J17" s="454">
        <f t="shared" si="2"/>
        <v>0</v>
      </c>
      <c r="K17" s="214">
        <f t="shared" si="2"/>
        <v>0</v>
      </c>
      <c r="L17" s="214">
        <f t="shared" si="2"/>
        <v>0</v>
      </c>
      <c r="M17" s="214">
        <f t="shared" si="2"/>
        <v>0</v>
      </c>
      <c r="N17" s="513" t="s">
        <v>250</v>
      </c>
      <c r="O17" s="384"/>
      <c r="P17" s="454"/>
      <c r="Q17" s="214"/>
      <c r="R17" s="214"/>
      <c r="S17" s="153"/>
    </row>
    <row r="18" spans="1:19" s="160" customFormat="1" ht="12" customHeight="1" hidden="1" thickBot="1">
      <c r="A18" s="175" t="s">
        <v>14</v>
      </c>
      <c r="B18" s="176"/>
      <c r="C18" s="490" t="s">
        <v>129</v>
      </c>
      <c r="D18" s="460">
        <f aca="true" t="shared" si="3" ref="D18:M18">SUM(D19:D20)</f>
        <v>0</v>
      </c>
      <c r="E18" s="219">
        <f t="shared" si="3"/>
        <v>0</v>
      </c>
      <c r="F18" s="219">
        <f t="shared" si="3"/>
        <v>0</v>
      </c>
      <c r="G18" s="219">
        <f>SUM(G19:G20)</f>
        <v>0</v>
      </c>
      <c r="H18" s="518" t="s">
        <v>250</v>
      </c>
      <c r="I18" s="384"/>
      <c r="J18" s="460">
        <f t="shared" si="3"/>
        <v>0</v>
      </c>
      <c r="K18" s="219">
        <f t="shared" si="3"/>
        <v>0</v>
      </c>
      <c r="L18" s="219">
        <f t="shared" si="3"/>
        <v>0</v>
      </c>
      <c r="M18" s="219">
        <f t="shared" si="3"/>
        <v>0</v>
      </c>
      <c r="N18" s="518" t="s">
        <v>250</v>
      </c>
      <c r="O18" s="384"/>
      <c r="P18" s="454"/>
      <c r="Q18" s="214"/>
      <c r="R18" s="214"/>
      <c r="S18" s="153"/>
    </row>
    <row r="19" spans="1:19" s="160" customFormat="1" ht="15" customHeight="1" hidden="1">
      <c r="A19" s="155"/>
      <c r="B19" s="178" t="s">
        <v>130</v>
      </c>
      <c r="C19" s="488" t="s">
        <v>131</v>
      </c>
      <c r="D19" s="457"/>
      <c r="E19" s="216"/>
      <c r="F19" s="216"/>
      <c r="G19" s="216"/>
      <c r="H19" s="515"/>
      <c r="I19" s="475"/>
      <c r="J19" s="457"/>
      <c r="K19" s="216"/>
      <c r="L19" s="216"/>
      <c r="M19" s="216"/>
      <c r="N19" s="515" t="s">
        <v>250</v>
      </c>
      <c r="O19" s="475"/>
      <c r="P19" s="463"/>
      <c r="Q19" s="464"/>
      <c r="R19" s="464"/>
      <c r="S19" s="275"/>
    </row>
    <row r="20" spans="1:19" s="160" customFormat="1" ht="15" customHeight="1" hidden="1" thickBot="1">
      <c r="A20" s="179"/>
      <c r="B20" s="180" t="s">
        <v>132</v>
      </c>
      <c r="C20" s="491" t="s">
        <v>133</v>
      </c>
      <c r="D20" s="461"/>
      <c r="E20" s="220"/>
      <c r="F20" s="220"/>
      <c r="G20" s="220"/>
      <c r="H20" s="519"/>
      <c r="I20" s="505"/>
      <c r="J20" s="461"/>
      <c r="K20" s="220"/>
      <c r="L20" s="220"/>
      <c r="M20" s="220"/>
      <c r="N20" s="519"/>
      <c r="O20" s="505"/>
      <c r="P20" s="461"/>
      <c r="Q20" s="220"/>
      <c r="R20" s="220"/>
      <c r="S20" s="182"/>
    </row>
    <row r="21" spans="1:19" ht="13.5" hidden="1" thickBot="1">
      <c r="A21" s="183" t="s">
        <v>57</v>
      </c>
      <c r="B21" s="308"/>
      <c r="C21" s="469" t="s">
        <v>134</v>
      </c>
      <c r="D21" s="459"/>
      <c r="E21" s="218"/>
      <c r="F21" s="218"/>
      <c r="G21" s="218"/>
      <c r="H21" s="517"/>
      <c r="I21" s="384"/>
      <c r="J21" s="459"/>
      <c r="K21" s="218"/>
      <c r="L21" s="218"/>
      <c r="M21" s="218"/>
      <c r="N21" s="517"/>
      <c r="O21" s="384"/>
      <c r="P21" s="459"/>
      <c r="Q21" s="218"/>
      <c r="R21" s="218"/>
      <c r="S21" s="173"/>
    </row>
    <row r="22" spans="1:19" s="148" customFormat="1" ht="16.5" customHeight="1" hidden="1" thickBot="1">
      <c r="A22" s="183" t="s">
        <v>58</v>
      </c>
      <c r="B22" s="309"/>
      <c r="C22" s="492" t="s">
        <v>135</v>
      </c>
      <c r="D22" s="462">
        <f aca="true" t="shared" si="4" ref="D22:M22">D17+D21+D18</f>
        <v>0</v>
      </c>
      <c r="E22" s="221">
        <f t="shared" si="4"/>
        <v>0</v>
      </c>
      <c r="F22" s="221">
        <f t="shared" si="4"/>
        <v>0</v>
      </c>
      <c r="G22" s="221">
        <f t="shared" si="4"/>
        <v>0</v>
      </c>
      <c r="H22" s="520" t="s">
        <v>250</v>
      </c>
      <c r="I22" s="384"/>
      <c r="J22" s="462">
        <f t="shared" si="4"/>
        <v>0</v>
      </c>
      <c r="K22" s="221">
        <f t="shared" si="4"/>
        <v>0</v>
      </c>
      <c r="L22" s="221">
        <f t="shared" si="4"/>
        <v>0</v>
      </c>
      <c r="M22" s="221">
        <f t="shared" si="4"/>
        <v>0</v>
      </c>
      <c r="N22" s="520" t="s">
        <v>250</v>
      </c>
      <c r="O22" s="384"/>
      <c r="P22" s="462"/>
      <c r="Q22" s="221"/>
      <c r="R22" s="221"/>
      <c r="S22" s="206"/>
    </row>
    <row r="23" spans="1:19" s="192" customFormat="1" ht="12" customHeight="1" hidden="1">
      <c r="A23" s="189"/>
      <c r="B23" s="189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</row>
    <row r="24" spans="1:18" ht="12" customHeight="1" hidden="1" thickBot="1">
      <c r="A24" s="193"/>
      <c r="B24" s="194"/>
      <c r="C24" s="194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</row>
    <row r="25" spans="1:19" ht="12" customHeight="1" hidden="1" thickBot="1">
      <c r="A25" s="196"/>
      <c r="B25" s="197"/>
      <c r="C25" s="198" t="s">
        <v>136</v>
      </c>
      <c r="D25" s="212"/>
      <c r="E25" s="212"/>
      <c r="F25" s="212"/>
      <c r="G25" s="212"/>
      <c r="H25" s="212"/>
      <c r="I25" s="212"/>
      <c r="J25" s="221"/>
      <c r="K25" s="221"/>
      <c r="L25" s="212"/>
      <c r="M25" s="212"/>
      <c r="N25" s="212"/>
      <c r="O25" s="212"/>
      <c r="P25" s="188"/>
      <c r="Q25" s="188"/>
      <c r="R25" s="188"/>
      <c r="S25" s="188"/>
    </row>
    <row r="26" spans="1:19" ht="12" customHeight="1" hidden="1" thickBot="1">
      <c r="A26" s="163" t="s">
        <v>27</v>
      </c>
      <c r="B26" s="199"/>
      <c r="C26" s="465" t="s">
        <v>137</v>
      </c>
      <c r="D26" s="454">
        <f aca="true" t="shared" si="5" ref="D26:M26">SUM(D27:D31)</f>
        <v>0</v>
      </c>
      <c r="E26" s="214">
        <f t="shared" si="5"/>
        <v>0</v>
      </c>
      <c r="F26" s="214">
        <f t="shared" si="5"/>
        <v>0</v>
      </c>
      <c r="G26" s="214">
        <f>SUM(G27:G31)</f>
        <v>0</v>
      </c>
      <c r="H26" s="521" t="s">
        <v>250</v>
      </c>
      <c r="I26" s="450"/>
      <c r="J26" s="454">
        <f t="shared" si="5"/>
        <v>0</v>
      </c>
      <c r="K26" s="214">
        <f t="shared" si="5"/>
        <v>0</v>
      </c>
      <c r="L26" s="214">
        <f t="shared" si="5"/>
        <v>0</v>
      </c>
      <c r="M26" s="214">
        <f t="shared" si="5"/>
        <v>0</v>
      </c>
      <c r="N26" s="521" t="s">
        <v>250</v>
      </c>
      <c r="O26" s="450"/>
      <c r="P26" s="506"/>
      <c r="Q26" s="448"/>
      <c r="R26" s="153"/>
      <c r="S26" s="153"/>
    </row>
    <row r="27" spans="1:19" ht="12" customHeight="1" hidden="1">
      <c r="A27" s="200"/>
      <c r="B27" s="201" t="s">
        <v>111</v>
      </c>
      <c r="C27" s="466" t="s">
        <v>138</v>
      </c>
      <c r="D27" s="472"/>
      <c r="E27" s="222"/>
      <c r="F27" s="222"/>
      <c r="G27" s="222"/>
      <c r="H27" s="522"/>
      <c r="I27" s="451"/>
      <c r="J27" s="472"/>
      <c r="K27" s="222"/>
      <c r="L27" s="222"/>
      <c r="M27" s="222"/>
      <c r="N27" s="522"/>
      <c r="O27" s="451"/>
      <c r="P27" s="507"/>
      <c r="Q27" s="479"/>
      <c r="R27" s="159"/>
      <c r="S27" s="159"/>
    </row>
    <row r="28" spans="1:19" ht="12" customHeight="1" hidden="1">
      <c r="A28" s="202"/>
      <c r="B28" s="203" t="s">
        <v>112</v>
      </c>
      <c r="C28" s="467" t="s">
        <v>51</v>
      </c>
      <c r="D28" s="473"/>
      <c r="E28" s="223"/>
      <c r="F28" s="223"/>
      <c r="G28" s="223"/>
      <c r="H28" s="523"/>
      <c r="I28" s="495"/>
      <c r="J28" s="473"/>
      <c r="K28" s="223"/>
      <c r="L28" s="223"/>
      <c r="M28" s="223"/>
      <c r="N28" s="523"/>
      <c r="O28" s="495"/>
      <c r="P28" s="507"/>
      <c r="Q28" s="479"/>
      <c r="R28" s="159"/>
      <c r="S28" s="159"/>
    </row>
    <row r="29" spans="1:19" ht="12" customHeight="1" hidden="1">
      <c r="A29" s="202"/>
      <c r="B29" s="203" t="s">
        <v>113</v>
      </c>
      <c r="C29" s="467" t="s">
        <v>139</v>
      </c>
      <c r="D29" s="473"/>
      <c r="E29" s="223"/>
      <c r="F29" s="223"/>
      <c r="G29" s="223"/>
      <c r="H29" s="523"/>
      <c r="I29" s="495"/>
      <c r="J29" s="473"/>
      <c r="K29" s="223"/>
      <c r="L29" s="223"/>
      <c r="M29" s="223"/>
      <c r="N29" s="523"/>
      <c r="O29" s="495"/>
      <c r="P29" s="507"/>
      <c r="Q29" s="479"/>
      <c r="R29" s="159"/>
      <c r="S29" s="159"/>
    </row>
    <row r="30" spans="1:19" s="192" customFormat="1" ht="12" customHeight="1" hidden="1">
      <c r="A30" s="202"/>
      <c r="B30" s="203" t="s">
        <v>114</v>
      </c>
      <c r="C30" s="467" t="s">
        <v>81</v>
      </c>
      <c r="D30" s="473"/>
      <c r="E30" s="223"/>
      <c r="F30" s="223"/>
      <c r="G30" s="223"/>
      <c r="H30" s="523"/>
      <c r="I30" s="496"/>
      <c r="J30" s="473"/>
      <c r="K30" s="223"/>
      <c r="L30" s="223"/>
      <c r="M30" s="223"/>
      <c r="N30" s="523"/>
      <c r="O30" s="496"/>
      <c r="P30" s="507"/>
      <c r="Q30" s="479"/>
      <c r="R30" s="159"/>
      <c r="S30" s="159"/>
    </row>
    <row r="31" spans="1:19" ht="12" customHeight="1" hidden="1" thickBot="1">
      <c r="A31" s="202"/>
      <c r="B31" s="203" t="s">
        <v>50</v>
      </c>
      <c r="C31" s="467" t="s">
        <v>83</v>
      </c>
      <c r="D31" s="473"/>
      <c r="E31" s="223"/>
      <c r="F31" s="223"/>
      <c r="G31" s="223"/>
      <c r="H31" s="523"/>
      <c r="I31" s="497"/>
      <c r="J31" s="473"/>
      <c r="K31" s="223"/>
      <c r="L31" s="223"/>
      <c r="M31" s="223"/>
      <c r="N31" s="523"/>
      <c r="O31" s="497"/>
      <c r="P31" s="508"/>
      <c r="Q31" s="480"/>
      <c r="R31" s="204"/>
      <c r="S31" s="204"/>
    </row>
    <row r="32" spans="1:19" ht="12" customHeight="1" hidden="1" thickBot="1">
      <c r="A32" s="163" t="s">
        <v>28</v>
      </c>
      <c r="B32" s="199"/>
      <c r="C32" s="465" t="s">
        <v>140</v>
      </c>
      <c r="D32" s="454">
        <f>SUM(D33:D36)</f>
        <v>0</v>
      </c>
      <c r="E32" s="214">
        <f>SUM(E33:E36)</f>
        <v>0</v>
      </c>
      <c r="F32" s="214">
        <f>SUM(F33:F36)</f>
        <v>0</v>
      </c>
      <c r="G32" s="214">
        <f>SUM(G33:G36)</f>
        <v>0</v>
      </c>
      <c r="H32" s="521"/>
      <c r="I32" s="452"/>
      <c r="J32" s="454"/>
      <c r="K32" s="214"/>
      <c r="L32" s="214">
        <f>SUM(L33:L36)</f>
        <v>0</v>
      </c>
      <c r="M32" s="214">
        <f>SUM(M33:M36)</f>
        <v>0</v>
      </c>
      <c r="N32" s="521"/>
      <c r="O32" s="452"/>
      <c r="P32" s="506"/>
      <c r="Q32" s="448"/>
      <c r="R32" s="153"/>
      <c r="S32" s="153"/>
    </row>
    <row r="33" spans="1:19" ht="12" customHeight="1" hidden="1">
      <c r="A33" s="200"/>
      <c r="B33" s="201" t="s">
        <v>141</v>
      </c>
      <c r="C33" s="466" t="s">
        <v>93</v>
      </c>
      <c r="D33" s="472"/>
      <c r="E33" s="222"/>
      <c r="F33" s="222"/>
      <c r="G33" s="222"/>
      <c r="H33" s="522"/>
      <c r="I33" s="496"/>
      <c r="J33" s="472"/>
      <c r="K33" s="222"/>
      <c r="L33" s="222"/>
      <c r="M33" s="222"/>
      <c r="N33" s="522"/>
      <c r="O33" s="496"/>
      <c r="P33" s="507"/>
      <c r="Q33" s="479"/>
      <c r="R33" s="159"/>
      <c r="S33" s="159"/>
    </row>
    <row r="34" spans="1:19" ht="12" customHeight="1" hidden="1">
      <c r="A34" s="202"/>
      <c r="B34" s="203" t="s">
        <v>142</v>
      </c>
      <c r="C34" s="467" t="s">
        <v>94</v>
      </c>
      <c r="D34" s="473">
        <v>0</v>
      </c>
      <c r="E34" s="223">
        <v>0</v>
      </c>
      <c r="F34" s="223">
        <v>0</v>
      </c>
      <c r="G34" s="223">
        <v>0</v>
      </c>
      <c r="H34" s="523"/>
      <c r="I34" s="497"/>
      <c r="J34" s="473"/>
      <c r="K34" s="223"/>
      <c r="L34" s="223">
        <v>0</v>
      </c>
      <c r="M34" s="223">
        <v>0</v>
      </c>
      <c r="N34" s="523"/>
      <c r="O34" s="497"/>
      <c r="P34" s="508"/>
      <c r="Q34" s="480"/>
      <c r="R34" s="204"/>
      <c r="S34" s="204"/>
    </row>
    <row r="35" spans="1:19" ht="15" customHeight="1" hidden="1">
      <c r="A35" s="202"/>
      <c r="B35" s="203" t="s">
        <v>143</v>
      </c>
      <c r="C35" s="467" t="s">
        <v>144</v>
      </c>
      <c r="D35" s="473"/>
      <c r="E35" s="223"/>
      <c r="F35" s="223"/>
      <c r="G35" s="223"/>
      <c r="H35" s="523"/>
      <c r="I35" s="497"/>
      <c r="J35" s="473"/>
      <c r="K35" s="223"/>
      <c r="L35" s="223"/>
      <c r="M35" s="223"/>
      <c r="N35" s="523"/>
      <c r="O35" s="497"/>
      <c r="P35" s="508"/>
      <c r="Q35" s="480"/>
      <c r="R35" s="204"/>
      <c r="S35" s="204"/>
    </row>
    <row r="36" spans="1:19" ht="13.5" hidden="1" thickBot="1">
      <c r="A36" s="202"/>
      <c r="B36" s="203" t="s">
        <v>145</v>
      </c>
      <c r="C36" s="467" t="s">
        <v>146</v>
      </c>
      <c r="D36" s="473"/>
      <c r="E36" s="223"/>
      <c r="F36" s="223"/>
      <c r="G36" s="223"/>
      <c r="H36" s="523"/>
      <c r="I36" s="497"/>
      <c r="J36" s="473"/>
      <c r="K36" s="223"/>
      <c r="L36" s="223"/>
      <c r="M36" s="223"/>
      <c r="N36" s="523"/>
      <c r="O36" s="497"/>
      <c r="P36" s="508"/>
      <c r="Q36" s="480"/>
      <c r="R36" s="204"/>
      <c r="S36" s="204"/>
    </row>
    <row r="37" spans="1:19" ht="15" customHeight="1" hidden="1" thickBot="1">
      <c r="A37" s="163" t="s">
        <v>10</v>
      </c>
      <c r="B37" s="199"/>
      <c r="C37" s="468" t="s">
        <v>236</v>
      </c>
      <c r="D37" s="459"/>
      <c r="E37" s="218"/>
      <c r="F37" s="218"/>
      <c r="G37" s="218"/>
      <c r="H37" s="524" t="s">
        <v>250</v>
      </c>
      <c r="I37" s="450"/>
      <c r="J37" s="459"/>
      <c r="K37" s="218"/>
      <c r="L37" s="218"/>
      <c r="M37" s="218"/>
      <c r="N37" s="524" t="s">
        <v>250</v>
      </c>
      <c r="O37" s="450"/>
      <c r="P37" s="509"/>
      <c r="Q37" s="449"/>
      <c r="R37" s="173"/>
      <c r="S37" s="173"/>
    </row>
    <row r="38" spans="1:19" ht="14.25" customHeight="1" hidden="1" thickBot="1">
      <c r="A38" s="183" t="s">
        <v>11</v>
      </c>
      <c r="B38" s="308"/>
      <c r="C38" s="469" t="s">
        <v>148</v>
      </c>
      <c r="D38" s="459"/>
      <c r="E38" s="218"/>
      <c r="F38" s="218"/>
      <c r="G38" s="218"/>
      <c r="H38" s="524"/>
      <c r="I38" s="450"/>
      <c r="J38" s="459"/>
      <c r="K38" s="218"/>
      <c r="L38" s="218"/>
      <c r="M38" s="218"/>
      <c r="N38" s="524"/>
      <c r="O38" s="450"/>
      <c r="P38" s="509"/>
      <c r="Q38" s="449"/>
      <c r="R38" s="173"/>
      <c r="S38" s="173"/>
    </row>
    <row r="39" spans="1:19" ht="13.5" hidden="1" thickBot="1">
      <c r="A39" s="163" t="s">
        <v>12</v>
      </c>
      <c r="B39" s="205"/>
      <c r="C39" s="470" t="s">
        <v>149</v>
      </c>
      <c r="D39" s="462">
        <f aca="true" t="shared" si="6" ref="D39:M39">D26+D32+D37+D38</f>
        <v>0</v>
      </c>
      <c r="E39" s="221">
        <f t="shared" si="6"/>
        <v>0</v>
      </c>
      <c r="F39" s="221">
        <f t="shared" si="6"/>
        <v>0</v>
      </c>
      <c r="G39" s="221">
        <f t="shared" si="6"/>
        <v>0</v>
      </c>
      <c r="H39" s="525" t="s">
        <v>250</v>
      </c>
      <c r="I39" s="450"/>
      <c r="J39" s="462">
        <f t="shared" si="6"/>
        <v>0</v>
      </c>
      <c r="K39" s="221">
        <f t="shared" si="6"/>
        <v>0</v>
      </c>
      <c r="L39" s="221">
        <f t="shared" si="6"/>
        <v>0</v>
      </c>
      <c r="M39" s="221">
        <f t="shared" si="6"/>
        <v>0</v>
      </c>
      <c r="N39" s="525" t="s">
        <v>250</v>
      </c>
      <c r="O39" s="450"/>
      <c r="P39" s="510"/>
      <c r="Q39" s="188"/>
      <c r="R39" s="206"/>
      <c r="S39" s="206"/>
    </row>
    <row r="40" spans="1:19" ht="13.5" hidden="1" thickBot="1">
      <c r="A40" s="310"/>
      <c r="B40" s="311"/>
      <c r="C40" s="311"/>
      <c r="D40" s="501"/>
      <c r="E40" s="502"/>
      <c r="F40" s="502"/>
      <c r="G40" s="502"/>
      <c r="H40" s="526"/>
      <c r="I40" s="312"/>
      <c r="J40" s="501"/>
      <c r="K40" s="502"/>
      <c r="L40" s="502"/>
      <c r="M40" s="502"/>
      <c r="N40" s="526"/>
      <c r="O40" s="312"/>
      <c r="P40" s="511"/>
      <c r="Q40" s="312"/>
      <c r="R40" s="312"/>
      <c r="S40" s="312"/>
    </row>
    <row r="41" spans="1:19" ht="13.5" hidden="1" thickBot="1">
      <c r="A41" s="209" t="s">
        <v>150</v>
      </c>
      <c r="B41" s="210"/>
      <c r="C41" s="471"/>
      <c r="D41" s="485"/>
      <c r="E41" s="226"/>
      <c r="F41" s="226"/>
      <c r="G41" s="226"/>
      <c r="H41" s="527"/>
      <c r="I41" s="450"/>
      <c r="J41" s="485"/>
      <c r="K41" s="226"/>
      <c r="L41" s="226"/>
      <c r="M41" s="226"/>
      <c r="N41" s="527"/>
      <c r="O41" s="450"/>
      <c r="P41" s="512"/>
      <c r="Q41" s="225"/>
      <c r="R41" s="225"/>
      <c r="S41" s="225"/>
    </row>
    <row r="42" spans="1:19" ht="13.5" hidden="1" thickBot="1">
      <c r="A42" s="209" t="s">
        <v>151</v>
      </c>
      <c r="B42" s="210"/>
      <c r="C42" s="471"/>
      <c r="D42" s="485"/>
      <c r="E42" s="226"/>
      <c r="F42" s="226"/>
      <c r="G42" s="226"/>
      <c r="H42" s="527"/>
      <c r="I42" s="450"/>
      <c r="J42" s="485"/>
      <c r="K42" s="226"/>
      <c r="L42" s="226"/>
      <c r="M42" s="226"/>
      <c r="N42" s="527"/>
      <c r="O42" s="450"/>
      <c r="P42" s="512"/>
      <c r="Q42" s="225"/>
      <c r="R42" s="225"/>
      <c r="S42" s="225"/>
    </row>
    <row r="43" ht="12.75" hidden="1"/>
    <row r="44" spans="1:9" ht="12.75" hidden="1">
      <c r="A44" s="1195" t="s">
        <v>152</v>
      </c>
      <c r="B44" s="1195"/>
      <c r="C44" s="1195"/>
      <c r="D44" s="1195"/>
      <c r="E44" s="296"/>
      <c r="F44" s="296"/>
      <c r="G44" s="296"/>
      <c r="H44" s="296"/>
      <c r="I44" s="296"/>
    </row>
    <row r="45" spans="1:9" ht="12.75" hidden="1">
      <c r="A45" s="1195"/>
      <c r="B45" s="1195"/>
      <c r="C45" s="1195"/>
      <c r="E45" s="314"/>
      <c r="F45" s="314"/>
      <c r="G45" s="314"/>
      <c r="H45" s="314"/>
      <c r="I45" s="314"/>
    </row>
    <row r="46" spans="4:9" ht="12.75" hidden="1">
      <c r="D46" s="314">
        <v>0</v>
      </c>
      <c r="E46" s="314"/>
      <c r="F46" s="314"/>
      <c r="G46" s="314"/>
      <c r="H46" s="314"/>
      <c r="I46" s="314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zoomScale="55" zoomScaleNormal="55" workbookViewId="0" topLeftCell="A28">
      <selection activeCell="J29" sqref="J29"/>
    </sheetView>
  </sheetViews>
  <sheetFormatPr defaultColWidth="9.140625" defaultRowHeight="12.75"/>
  <cols>
    <col min="1" max="1" width="7.7109375" style="108" customWidth="1"/>
    <col min="2" max="2" width="3.8515625" style="115" customWidth="1"/>
    <col min="3" max="3" width="5.28125" style="115" customWidth="1"/>
    <col min="4" max="4" width="66.57421875" style="116" customWidth="1"/>
    <col min="5" max="5" width="22.57421875" style="1" customWidth="1"/>
    <col min="6" max="6" width="20.00390625" style="1" hidden="1" customWidth="1"/>
    <col min="7" max="7" width="21.28125" style="1" hidden="1" customWidth="1"/>
    <col min="8" max="9" width="20.421875" style="1" hidden="1" customWidth="1"/>
    <col min="10" max="10" width="20.421875" style="1" customWidth="1"/>
    <col min="11" max="11" width="20.421875" style="66" customWidth="1"/>
    <col min="12" max="12" width="21.28125" style="66" hidden="1" customWidth="1"/>
    <col min="13" max="13" width="23.8515625" style="66" hidden="1" customWidth="1"/>
    <col min="14" max="15" width="22.8515625" style="66" hidden="1" customWidth="1"/>
    <col min="16" max="16" width="22.8515625" style="66" customWidth="1"/>
    <col min="17" max="17" width="22.8515625" style="66" hidden="1" customWidth="1"/>
    <col min="18" max="18" width="22.8515625" style="66" customWidth="1"/>
    <col min="19" max="22" width="22.8515625" style="66" hidden="1" customWidth="1"/>
    <col min="23" max="24" width="22.8515625" style="66" customWidth="1"/>
    <col min="25" max="28" width="22.8515625" style="1" hidden="1" customWidth="1"/>
    <col min="29" max="29" width="22.8515625" style="1" customWidth="1"/>
    <col min="30" max="31" width="22.8515625" style="1" hidden="1" customWidth="1"/>
    <col min="32" max="32" width="22.8515625" style="1" customWidth="1"/>
    <col min="33" max="16384" width="9.140625" style="1" customWidth="1"/>
  </cols>
  <sheetData>
    <row r="1" spans="1:24" ht="24.75" customHeight="1">
      <c r="A1" s="1159" t="s">
        <v>8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</row>
    <row r="2" spans="1:24" ht="14.25" customHeight="1" thickBot="1">
      <c r="A2" s="863" t="s">
        <v>196</v>
      </c>
      <c r="B2" s="863"/>
      <c r="C2" s="107"/>
      <c r="D2" s="126"/>
      <c r="X2" s="123" t="s">
        <v>461</v>
      </c>
    </row>
    <row r="3" spans="1:30" s="2" customFormat="1" ht="48.75" customHeight="1" thickBot="1">
      <c r="A3" s="1160" t="s">
        <v>4</v>
      </c>
      <c r="B3" s="1123"/>
      <c r="C3" s="1123"/>
      <c r="D3" s="1123"/>
      <c r="E3" s="434" t="s">
        <v>5</v>
      </c>
      <c r="F3" s="392"/>
      <c r="G3" s="392"/>
      <c r="H3" s="392"/>
      <c r="I3" s="392"/>
      <c r="J3" s="393"/>
      <c r="K3" s="434" t="s">
        <v>61</v>
      </c>
      <c r="L3" s="392"/>
      <c r="M3" s="392"/>
      <c r="N3" s="392"/>
      <c r="O3" s="392"/>
      <c r="P3" s="857"/>
      <c r="Q3" s="393"/>
      <c r="R3" s="434" t="s">
        <v>62</v>
      </c>
      <c r="S3" s="392"/>
      <c r="T3" s="392"/>
      <c r="U3" s="392"/>
      <c r="V3" s="392"/>
      <c r="W3" s="393"/>
      <c r="X3" s="1162" t="s">
        <v>66</v>
      </c>
      <c r="Y3" s="1163"/>
      <c r="Z3" s="1163"/>
      <c r="AA3" s="1163"/>
      <c r="AB3" s="1163"/>
      <c r="AC3" s="1163"/>
      <c r="AD3" s="1164"/>
    </row>
    <row r="4" spans="1:31" s="2" customFormat="1" ht="16.5" thickBot="1">
      <c r="A4" s="295"/>
      <c r="B4" s="293"/>
      <c r="C4" s="293"/>
      <c r="D4" s="293"/>
      <c r="E4" s="344" t="s">
        <v>65</v>
      </c>
      <c r="F4" s="345" t="s">
        <v>229</v>
      </c>
      <c r="G4" s="345" t="s">
        <v>232</v>
      </c>
      <c r="H4" s="345" t="s">
        <v>234</v>
      </c>
      <c r="I4" s="345" t="s">
        <v>248</v>
      </c>
      <c r="J4" s="346" t="s">
        <v>253</v>
      </c>
      <c r="K4" s="344" t="s">
        <v>65</v>
      </c>
      <c r="L4" s="345" t="s">
        <v>229</v>
      </c>
      <c r="M4" s="345" t="s">
        <v>232</v>
      </c>
      <c r="N4" s="345" t="s">
        <v>234</v>
      </c>
      <c r="O4" s="345" t="s">
        <v>248</v>
      </c>
      <c r="P4" s="345" t="s">
        <v>253</v>
      </c>
      <c r="Q4" s="346" t="s">
        <v>238</v>
      </c>
      <c r="R4" s="344" t="s">
        <v>65</v>
      </c>
      <c r="S4" s="345" t="s">
        <v>229</v>
      </c>
      <c r="T4" s="345" t="s">
        <v>232</v>
      </c>
      <c r="U4" s="345" t="s">
        <v>234</v>
      </c>
      <c r="V4" s="345" t="s">
        <v>248</v>
      </c>
      <c r="W4" s="346" t="s">
        <v>253</v>
      </c>
      <c r="X4" s="344" t="s">
        <v>65</v>
      </c>
      <c r="Y4" s="345" t="s">
        <v>229</v>
      </c>
      <c r="Z4" s="345" t="s">
        <v>232</v>
      </c>
      <c r="AA4" s="345" t="s">
        <v>234</v>
      </c>
      <c r="AB4" s="345" t="s">
        <v>248</v>
      </c>
      <c r="AC4" s="345" t="s">
        <v>253</v>
      </c>
      <c r="AD4" s="346" t="s">
        <v>253</v>
      </c>
      <c r="AE4" s="849"/>
    </row>
    <row r="5" spans="1:30" s="65" customFormat="1" ht="33" customHeight="1" thickBot="1">
      <c r="A5" s="100" t="s">
        <v>27</v>
      </c>
      <c r="B5" s="1161" t="s">
        <v>78</v>
      </c>
      <c r="C5" s="1161"/>
      <c r="D5" s="1161"/>
      <c r="E5" s="347">
        <f aca="true" t="shared" si="0" ref="E5:K5">SUM(E6:E10)</f>
        <v>470826179</v>
      </c>
      <c r="F5" s="284">
        <f t="shared" si="0"/>
        <v>473050541</v>
      </c>
      <c r="G5" s="284">
        <f t="shared" si="0"/>
        <v>477002760</v>
      </c>
      <c r="H5" s="284">
        <f>SUM(H6:H10)</f>
        <v>485342060</v>
      </c>
      <c r="I5" s="284">
        <f>SUM(I6:I10)</f>
        <v>493154041</v>
      </c>
      <c r="J5" s="284">
        <f>SUM(J6:J10)</f>
        <v>569084839</v>
      </c>
      <c r="K5" s="347">
        <f t="shared" si="0"/>
        <v>452880697</v>
      </c>
      <c r="L5" s="284">
        <f>SUM(L6:L10)</f>
        <v>453114558</v>
      </c>
      <c r="M5" s="284">
        <f>SUM(M6:M10)</f>
        <v>457222036</v>
      </c>
      <c r="N5" s="284">
        <f>SUM(N6:N10)</f>
        <v>465561335</v>
      </c>
      <c r="O5" s="284">
        <f>SUM(O6:O10)</f>
        <v>475173315</v>
      </c>
      <c r="P5" s="284">
        <f>SUM(P6:P10)</f>
        <v>553804208</v>
      </c>
      <c r="Q5" s="742" t="e">
        <f>#REF!/N5</f>
        <v>#REF!</v>
      </c>
      <c r="R5" s="347">
        <f aca="true" t="shared" si="1" ref="R5:Z5">SUM(R6:R10)</f>
        <v>17945482</v>
      </c>
      <c r="S5" s="284">
        <f>SUM(S6:S10)</f>
        <v>19935983</v>
      </c>
      <c r="T5" s="284">
        <f>SUM(T6:T10)</f>
        <v>19780724</v>
      </c>
      <c r="U5" s="284">
        <f>SUM(U6:U10)</f>
        <v>19780725</v>
      </c>
      <c r="V5" s="284">
        <f>SUM(V6:V10)</f>
        <v>17980726</v>
      </c>
      <c r="W5" s="284">
        <f>SUM(W6:W10)</f>
        <v>15280631</v>
      </c>
      <c r="X5" s="347">
        <f t="shared" si="1"/>
        <v>5610894</v>
      </c>
      <c r="Y5" s="284">
        <f t="shared" si="1"/>
        <v>5610894</v>
      </c>
      <c r="Z5" s="284">
        <f t="shared" si="1"/>
        <v>5610894</v>
      </c>
      <c r="AA5" s="284">
        <f>SUM(AA6:AA10)</f>
        <v>5610894</v>
      </c>
      <c r="AB5" s="284">
        <f>SUM(AB6:AB10)</f>
        <v>5610894</v>
      </c>
      <c r="AC5" s="284">
        <f>SUM(AC6:AC10)</f>
        <v>5610894</v>
      </c>
      <c r="AD5" s="818">
        <f>SUM(AD6:AD10)</f>
        <v>0</v>
      </c>
    </row>
    <row r="6" spans="1:30" s="5" customFormat="1" ht="33" customHeight="1">
      <c r="A6" s="99"/>
      <c r="B6" s="104" t="s">
        <v>36</v>
      </c>
      <c r="C6" s="104"/>
      <c r="D6" s="338" t="s">
        <v>0</v>
      </c>
      <c r="E6" s="348">
        <f>'4.sz.m.ÖNK kiadás'!E7+'5.1 sz. m Köz Hiv'!D35+'5.2 sz. m ÁMK'!D38+'üres lap'!D27</f>
        <v>170503539</v>
      </c>
      <c r="F6" s="286">
        <f>'4.sz.m.ÖNK kiadás'!F7+'5.1 sz. m Köz Hiv'!E35+'5.2 sz. m ÁMK'!E38+'üres lap'!E27</f>
        <v>170503539</v>
      </c>
      <c r="G6" s="286">
        <f>'4.sz.m.ÖNK kiadás'!G7+'5.1 sz. m Köz Hiv'!F35+'5.2 sz. m ÁMK'!F38+'üres lap'!F27</f>
        <v>170438359</v>
      </c>
      <c r="H6" s="286">
        <f>'4.sz.m.ÖNK kiadás'!H7+'5.1 sz. m Köz Hiv'!G35+'5.2 sz. m ÁMK'!G38+'üres lap'!G27</f>
        <v>172005287</v>
      </c>
      <c r="I6" s="286">
        <f>'4.sz.m.ÖNK kiadás'!I7+'5.1 sz. m Köz Hiv'!H35+'5.2 sz. m ÁMK'!H38+'üres lap'!H27</f>
        <v>171662469</v>
      </c>
      <c r="J6" s="286">
        <f>'4.sz.m.ÖNK kiadás'!J7+'5.1 sz. m Köz Hiv'!I35+'5.2 sz. m ÁMK'!I38+'üres lap'!I27</f>
        <v>168180559</v>
      </c>
      <c r="K6" s="348">
        <f aca="true" t="shared" si="2" ref="K6:P13">E6-R6</f>
        <v>170503539</v>
      </c>
      <c r="L6" s="286">
        <f t="shared" si="2"/>
        <v>170503539</v>
      </c>
      <c r="M6" s="286">
        <f t="shared" si="2"/>
        <v>170438359</v>
      </c>
      <c r="N6" s="286">
        <f t="shared" si="2"/>
        <v>172005287</v>
      </c>
      <c r="O6" s="286">
        <f t="shared" si="2"/>
        <v>171662469</v>
      </c>
      <c r="P6" s="286">
        <f t="shared" si="2"/>
        <v>168180559</v>
      </c>
      <c r="Q6" s="748" t="e">
        <f>#REF!/N6</f>
        <v>#REF!</v>
      </c>
      <c r="R6" s="348">
        <f>'4.sz.m.ÖNK kiadás'!S7</f>
        <v>0</v>
      </c>
      <c r="S6" s="286">
        <f>'4.sz.m.ÖNK kiadás'!T7</f>
        <v>0</v>
      </c>
      <c r="T6" s="286">
        <f>'4.sz.m.ÖNK kiadás'!U7</f>
        <v>0</v>
      </c>
      <c r="U6" s="286">
        <f>'4.sz.m.ÖNK kiadás'!V7</f>
        <v>0</v>
      </c>
      <c r="V6" s="286">
        <f>'4.sz.m.ÖNK kiadás'!W7</f>
        <v>0</v>
      </c>
      <c r="W6" s="286">
        <f>'4.sz.m.ÖNK kiadás'!X7</f>
        <v>0</v>
      </c>
      <c r="X6" s="348">
        <f>'5.1 sz. m Köz Hiv'!S35</f>
        <v>3626473</v>
      </c>
      <c r="Y6" s="286">
        <f>'5.1 sz. m Köz Hiv'!T35</f>
        <v>3626473</v>
      </c>
      <c r="Z6" s="286">
        <f>'5.1 sz. m Köz Hiv'!U35</f>
        <v>3626473</v>
      </c>
      <c r="AA6" s="286">
        <f>'5.1 sz. m Köz Hiv'!V35</f>
        <v>3626473</v>
      </c>
      <c r="AB6" s="286">
        <f>'5.1 sz. m Köz Hiv'!W35</f>
        <v>3626473</v>
      </c>
      <c r="AC6" s="286">
        <f>'5.1 sz. m Köz Hiv'!X35</f>
        <v>3626473</v>
      </c>
      <c r="AD6" s="819">
        <f>'5.1 sz. m Köz Hiv'!AA35</f>
        <v>0</v>
      </c>
    </row>
    <row r="7" spans="1:30" s="5" customFormat="1" ht="33" customHeight="1">
      <c r="A7" s="82"/>
      <c r="B7" s="91" t="s">
        <v>37</v>
      </c>
      <c r="C7" s="91"/>
      <c r="D7" s="339" t="s">
        <v>79</v>
      </c>
      <c r="E7" s="348">
        <f>'4.sz.m.ÖNK kiadás'!E8+'5.1 sz. m Köz Hiv'!D36+'5.2 sz. m ÁMK'!D39+'üres lap'!D28</f>
        <v>38651471</v>
      </c>
      <c r="F7" s="286">
        <f>'4.sz.m.ÖNK kiadás'!F8+'5.1 sz. m Köz Hiv'!E36+'5.2 sz. m ÁMK'!E39+'üres lap'!E28</f>
        <v>38651471</v>
      </c>
      <c r="G7" s="286">
        <f>'4.sz.m.ÖNK kiadás'!G8+'5.1 sz. m Köz Hiv'!F36+'5.2 sz. m ÁMK'!F39+'üres lap'!F28</f>
        <v>38651471</v>
      </c>
      <c r="H7" s="286">
        <f>'4.sz.m.ÖNK kiadás'!H8+'5.1 sz. m Köz Hiv'!G36+'5.2 sz. m ÁMK'!G39+'üres lap'!G28</f>
        <v>39074543</v>
      </c>
      <c r="I7" s="286">
        <f>'4.sz.m.ÖNK kiadás'!I8+'5.1 sz. m Köz Hiv'!H36+'5.2 sz. m ÁMK'!H39+'üres lap'!H28</f>
        <v>39055796</v>
      </c>
      <c r="J7" s="286">
        <f>'4.sz.m.ÖNK kiadás'!J8+'5.1 sz. m Köz Hiv'!I36+'5.2 sz. m ÁMK'!I39+'üres lap'!I28</f>
        <v>38438022</v>
      </c>
      <c r="K7" s="348">
        <f t="shared" si="2"/>
        <v>38651471</v>
      </c>
      <c r="L7" s="286">
        <f t="shared" si="2"/>
        <v>38651471</v>
      </c>
      <c r="M7" s="286">
        <f t="shared" si="2"/>
        <v>38651471</v>
      </c>
      <c r="N7" s="286">
        <f t="shared" si="2"/>
        <v>39074543</v>
      </c>
      <c r="O7" s="286">
        <f t="shared" si="2"/>
        <v>39055796</v>
      </c>
      <c r="P7" s="286">
        <f t="shared" si="2"/>
        <v>38438022</v>
      </c>
      <c r="Q7" s="748" t="e">
        <f>#REF!/N7</f>
        <v>#REF!</v>
      </c>
      <c r="R7" s="348">
        <f>'4.sz.m.ÖNK kiadás'!S8</f>
        <v>0</v>
      </c>
      <c r="S7" s="286">
        <f>'4.sz.m.ÖNK kiadás'!T8</f>
        <v>0</v>
      </c>
      <c r="T7" s="286">
        <f>'4.sz.m.ÖNK kiadás'!U8</f>
        <v>0</v>
      </c>
      <c r="U7" s="286">
        <f>'4.sz.m.ÖNK kiadás'!V8</f>
        <v>0</v>
      </c>
      <c r="V7" s="286">
        <f>'4.sz.m.ÖNK kiadás'!W8</f>
        <v>0</v>
      </c>
      <c r="W7" s="286">
        <f>'4.sz.m.ÖNK kiadás'!X8</f>
        <v>0</v>
      </c>
      <c r="X7" s="348">
        <f>'5.1 sz. m Köz Hiv'!S36</f>
        <v>799596</v>
      </c>
      <c r="Y7" s="286">
        <f>'5.1 sz. m Köz Hiv'!T36</f>
        <v>799596</v>
      </c>
      <c r="Z7" s="286">
        <f>'5.1 sz. m Köz Hiv'!U36</f>
        <v>799596</v>
      </c>
      <c r="AA7" s="286">
        <f>'5.1 sz. m Köz Hiv'!V36</f>
        <v>799596</v>
      </c>
      <c r="AB7" s="286">
        <f>'5.1 sz. m Köz Hiv'!W36</f>
        <v>799596</v>
      </c>
      <c r="AC7" s="286">
        <f>'5.1 sz. m Köz Hiv'!X36</f>
        <v>799596</v>
      </c>
      <c r="AD7" s="819">
        <f>'5.1 sz. m Köz Hiv'!AA36</f>
        <v>0</v>
      </c>
    </row>
    <row r="8" spans="1:30" s="5" customFormat="1" ht="33" customHeight="1">
      <c r="A8" s="82"/>
      <c r="B8" s="91" t="s">
        <v>38</v>
      </c>
      <c r="C8" s="91"/>
      <c r="D8" s="339" t="s">
        <v>80</v>
      </c>
      <c r="E8" s="348">
        <f>'4.sz.m.ÖNK kiadás'!E9+'5.1 sz. m Köz Hiv'!D37+'5.2 sz. m ÁMK'!D40+'üres lap'!D29</f>
        <v>127616672</v>
      </c>
      <c r="F8" s="286">
        <f>'4.sz.m.ÖNK kiadás'!F9+'5.1 sz. m Köz Hiv'!E37+'5.2 sz. m ÁMK'!E40+'üres lap'!E29</f>
        <v>127773672</v>
      </c>
      <c r="G8" s="286">
        <f>'4.sz.m.ÖNK kiadás'!G9+'5.1 sz. m Köz Hiv'!F37+'5.2 sz. m ÁMK'!F40+'üres lap'!F29</f>
        <v>131946331</v>
      </c>
      <c r="H8" s="286">
        <f>'4.sz.m.ÖNK kiadás'!H9+'5.1 sz. m Köz Hiv'!G37+'5.2 sz. m ÁMK'!G40+'üres lap'!G29</f>
        <v>138295631</v>
      </c>
      <c r="I8" s="286">
        <f>'4.sz.m.ÖNK kiadás'!I9+'5.1 sz. m Köz Hiv'!H37+'5.2 sz. m ÁMK'!H40+'üres lap'!H29</f>
        <v>142431820</v>
      </c>
      <c r="J8" s="286">
        <f>'4.sz.m.ÖNK kiadás'!J9+'5.1 sz. m Köz Hiv'!I37+'5.2 sz. m ÁMK'!I40+'üres lap'!I29</f>
        <v>207090050</v>
      </c>
      <c r="K8" s="348">
        <f t="shared" si="2"/>
        <v>125749977</v>
      </c>
      <c r="L8" s="286">
        <f t="shared" si="2"/>
        <v>125906977</v>
      </c>
      <c r="M8" s="286">
        <f t="shared" si="2"/>
        <v>130079636</v>
      </c>
      <c r="N8" s="286">
        <f t="shared" si="2"/>
        <v>136428936</v>
      </c>
      <c r="O8" s="286">
        <f t="shared" si="2"/>
        <v>140565125</v>
      </c>
      <c r="P8" s="286">
        <f t="shared" si="2"/>
        <v>205175926</v>
      </c>
      <c r="Q8" s="748" t="e">
        <f>#REF!/N8</f>
        <v>#REF!</v>
      </c>
      <c r="R8" s="348">
        <f>'4.sz.m.ÖNK kiadás'!S9</f>
        <v>1866695</v>
      </c>
      <c r="S8" s="286">
        <f>'4.sz.m.ÖNK kiadás'!T9</f>
        <v>1866695</v>
      </c>
      <c r="T8" s="286">
        <f>'4.sz.m.ÖNK kiadás'!U9</f>
        <v>1866695</v>
      </c>
      <c r="U8" s="286">
        <f>'4.sz.m.ÖNK kiadás'!V9</f>
        <v>1866695</v>
      </c>
      <c r="V8" s="286">
        <f>'4.sz.m.ÖNK kiadás'!W9</f>
        <v>1866695</v>
      </c>
      <c r="W8" s="286">
        <f>'4.sz.m.ÖNK kiadás'!X9</f>
        <v>1914124</v>
      </c>
      <c r="X8" s="348">
        <f>'5.1 sz. m Köz Hiv'!S37</f>
        <v>1184825</v>
      </c>
      <c r="Y8" s="286">
        <f>'5.1 sz. m Köz Hiv'!T37</f>
        <v>1184825</v>
      </c>
      <c r="Z8" s="286">
        <f>'5.1 sz. m Köz Hiv'!U37</f>
        <v>1184825</v>
      </c>
      <c r="AA8" s="286">
        <f>'5.1 sz. m Köz Hiv'!V37</f>
        <v>1184825</v>
      </c>
      <c r="AB8" s="286">
        <f>'5.1 sz. m Köz Hiv'!W37</f>
        <v>1184825</v>
      </c>
      <c r="AC8" s="286">
        <f>'5.1 sz. m Köz Hiv'!X37</f>
        <v>1184825</v>
      </c>
      <c r="AD8" s="819">
        <f>'5.1 sz. m Köz Hiv'!AA37</f>
        <v>0</v>
      </c>
    </row>
    <row r="9" spans="1:30" s="5" customFormat="1" ht="33" customHeight="1">
      <c r="A9" s="82"/>
      <c r="B9" s="91" t="s">
        <v>49</v>
      </c>
      <c r="C9" s="91"/>
      <c r="D9" s="339" t="s">
        <v>81</v>
      </c>
      <c r="E9" s="348">
        <f>'4.sz.m.ÖNK kiadás'!E10+'5.1 sz. m Köz Hiv'!D38+'5.2 sz. m ÁMK'!D41+'üres lap'!D30</f>
        <v>3025952</v>
      </c>
      <c r="F9" s="286">
        <f>'4.sz.m.ÖNK kiadás'!F10+'5.1 sz. m Köz Hiv'!E38+'5.2 sz. m ÁMK'!E41+'üres lap'!E30</f>
        <v>3025952</v>
      </c>
      <c r="G9" s="286">
        <f>'4.sz.m.ÖNK kiadás'!G10+'5.1 sz. m Köz Hiv'!F38+'5.2 sz. m ÁMK'!F41+'üres lap'!F30</f>
        <v>3025952</v>
      </c>
      <c r="H9" s="286">
        <f>'4.sz.m.ÖNK kiadás'!H10+'5.1 sz. m Köz Hiv'!G38+'5.2 sz. m ÁMK'!G41+'üres lap'!G30</f>
        <v>3025952</v>
      </c>
      <c r="I9" s="286">
        <f>'4.sz.m.ÖNK kiadás'!I10+'5.1 sz. m Köz Hiv'!H38+'5.2 sz. m ÁMK'!H41+'üres lap'!H30</f>
        <v>3236952</v>
      </c>
      <c r="J9" s="286">
        <f>'4.sz.m.ÖNK kiadás'!J10+'5.1 sz. m Köz Hiv'!I38+'5.2 sz. m ÁMK'!I41+'üres lap'!I30</f>
        <v>2642000</v>
      </c>
      <c r="K9" s="348">
        <f t="shared" si="2"/>
        <v>245952</v>
      </c>
      <c r="L9" s="286">
        <f t="shared" si="2"/>
        <v>245952</v>
      </c>
      <c r="M9" s="286">
        <f t="shared" si="2"/>
        <v>245952</v>
      </c>
      <c r="N9" s="286">
        <f t="shared" si="2"/>
        <v>245952</v>
      </c>
      <c r="O9" s="286">
        <f t="shared" si="2"/>
        <v>456952</v>
      </c>
      <c r="P9" s="286">
        <f t="shared" si="2"/>
        <v>2642000</v>
      </c>
      <c r="Q9" s="748" t="e">
        <f>#REF!/N9</f>
        <v>#REF!</v>
      </c>
      <c r="R9" s="348">
        <f>'4.sz.m.ÖNK kiadás'!S10</f>
        <v>2780000</v>
      </c>
      <c r="S9" s="286">
        <f>'4.sz.m.ÖNK kiadás'!T10</f>
        <v>2780000</v>
      </c>
      <c r="T9" s="286">
        <f>'4.sz.m.ÖNK kiadás'!U10</f>
        <v>2780000</v>
      </c>
      <c r="U9" s="286">
        <f>'4.sz.m.ÖNK kiadás'!V10</f>
        <v>2780000</v>
      </c>
      <c r="V9" s="286">
        <f>'4.sz.m.ÖNK kiadás'!W10</f>
        <v>2780000</v>
      </c>
      <c r="W9" s="286">
        <f>'4.sz.m.ÖNK kiadás'!X10</f>
        <v>0</v>
      </c>
      <c r="X9" s="348">
        <v>0</v>
      </c>
      <c r="Y9" s="286"/>
      <c r="Z9" s="286"/>
      <c r="AA9" s="286"/>
      <c r="AB9" s="286"/>
      <c r="AC9" s="286"/>
      <c r="AD9" s="819"/>
    </row>
    <row r="10" spans="1:30" s="5" customFormat="1" ht="33" customHeight="1">
      <c r="A10" s="82"/>
      <c r="B10" s="91" t="s">
        <v>50</v>
      </c>
      <c r="C10" s="91"/>
      <c r="D10" s="340" t="s">
        <v>83</v>
      </c>
      <c r="E10" s="348">
        <f aca="true" t="shared" si="3" ref="E10:J10">SUM(E11:E15)</f>
        <v>131028545</v>
      </c>
      <c r="F10" s="286">
        <f t="shared" si="3"/>
        <v>133095907</v>
      </c>
      <c r="G10" s="286">
        <f t="shared" si="3"/>
        <v>132940647</v>
      </c>
      <c r="H10" s="286">
        <f t="shared" si="3"/>
        <v>132940647</v>
      </c>
      <c r="I10" s="286">
        <f t="shared" si="3"/>
        <v>136767004</v>
      </c>
      <c r="J10" s="286">
        <f t="shared" si="3"/>
        <v>152734208</v>
      </c>
      <c r="K10" s="348">
        <f t="shared" si="2"/>
        <v>117729758</v>
      </c>
      <c r="L10" s="286">
        <f t="shared" si="2"/>
        <v>117806619</v>
      </c>
      <c r="M10" s="286">
        <f t="shared" si="2"/>
        <v>117806618</v>
      </c>
      <c r="N10" s="286">
        <f t="shared" si="2"/>
        <v>117806617</v>
      </c>
      <c r="O10" s="286">
        <f t="shared" si="2"/>
        <v>123432973</v>
      </c>
      <c r="P10" s="286">
        <f t="shared" si="2"/>
        <v>139367701</v>
      </c>
      <c r="Q10" s="748" t="e">
        <f>#REF!/N10</f>
        <v>#REF!</v>
      </c>
      <c r="R10" s="348">
        <f>'4.sz.m.ÖNK kiadás'!S11</f>
        <v>13298787</v>
      </c>
      <c r="S10" s="286">
        <f>'4.sz.m.ÖNK kiadás'!T11</f>
        <v>15289288</v>
      </c>
      <c r="T10" s="286">
        <f>'4.sz.m.ÖNK kiadás'!U11</f>
        <v>15134029</v>
      </c>
      <c r="U10" s="286">
        <f>'4.sz.m.ÖNK kiadás'!V11</f>
        <v>15134030</v>
      </c>
      <c r="V10" s="286">
        <f>'4.sz.m.ÖNK kiadás'!W11</f>
        <v>13334031</v>
      </c>
      <c r="W10" s="286">
        <f>'4.sz.m.ÖNK kiadás'!X11</f>
        <v>13366507</v>
      </c>
      <c r="X10" s="348">
        <v>0</v>
      </c>
      <c r="Y10" s="286"/>
      <c r="Z10" s="286"/>
      <c r="AA10" s="286"/>
      <c r="AB10" s="286"/>
      <c r="AC10" s="286"/>
      <c r="AD10" s="819"/>
    </row>
    <row r="11" spans="1:30" s="5" customFormat="1" ht="33" customHeight="1">
      <c r="A11" s="82"/>
      <c r="B11" s="114"/>
      <c r="C11" s="91" t="s">
        <v>82</v>
      </c>
      <c r="D11" s="341" t="s">
        <v>280</v>
      </c>
      <c r="E11" s="348">
        <f>'4.sz.m.ÖNK kiadás'!E12</f>
        <v>215403</v>
      </c>
      <c r="F11" s="286">
        <f>'4.sz.m.ÖNK kiadás'!F12</f>
        <v>292265</v>
      </c>
      <c r="G11" s="286">
        <f>'4.sz.m.ÖNK kiadás'!G12</f>
        <v>292265</v>
      </c>
      <c r="H11" s="286">
        <f>'4.sz.m.ÖNK kiadás'!H12+'5.1 sz. m Köz Hiv'!G39+'5.2 sz. m ÁMK'!G42</f>
        <v>292265</v>
      </c>
      <c r="I11" s="286">
        <f>'4.sz.m.ÖNK kiadás'!I12+'5.1 sz. m Köz Hiv'!H39+'5.2 sz. m ÁMK'!H42</f>
        <v>292265</v>
      </c>
      <c r="J11" s="286">
        <f>'4.sz.m.ÖNK kiadás'!J12+'5.1 sz. m Köz Hiv'!I39+'5.2 sz. m ÁMK'!I42</f>
        <v>292265</v>
      </c>
      <c r="K11" s="348">
        <f t="shared" si="2"/>
        <v>215403</v>
      </c>
      <c r="L11" s="286">
        <f t="shared" si="2"/>
        <v>292264</v>
      </c>
      <c r="M11" s="286">
        <f t="shared" si="2"/>
        <v>292263</v>
      </c>
      <c r="N11" s="286">
        <f t="shared" si="2"/>
        <v>292262</v>
      </c>
      <c r="O11" s="286">
        <f t="shared" si="2"/>
        <v>292261</v>
      </c>
      <c r="P11" s="286">
        <f t="shared" si="2"/>
        <v>292265</v>
      </c>
      <c r="Q11" s="748" t="e">
        <f>#REF!/N11</f>
        <v>#REF!</v>
      </c>
      <c r="R11" s="348">
        <f>'4.sz.m.ÖNK kiadás'!S12</f>
        <v>0</v>
      </c>
      <c r="S11" s="286">
        <f>'4.sz.m.ÖNK kiadás'!T12</f>
        <v>1</v>
      </c>
      <c r="T11" s="286">
        <f>'4.sz.m.ÖNK kiadás'!U12</f>
        <v>2</v>
      </c>
      <c r="U11" s="286">
        <f>'4.sz.m.ÖNK kiadás'!V12</f>
        <v>3</v>
      </c>
      <c r="V11" s="286">
        <f>'4.sz.m.ÖNK kiadás'!W12</f>
        <v>4</v>
      </c>
      <c r="W11" s="286">
        <f>'4.sz.m.ÖNK kiadás'!X12</f>
        <v>0</v>
      </c>
      <c r="X11" s="348">
        <v>0</v>
      </c>
      <c r="Y11" s="286"/>
      <c r="Z11" s="286"/>
      <c r="AA11" s="286"/>
      <c r="AB11" s="286"/>
      <c r="AC11" s="286"/>
      <c r="AD11" s="819"/>
    </row>
    <row r="12" spans="1:30" s="5" customFormat="1" ht="57.75" customHeight="1">
      <c r="A12" s="82"/>
      <c r="B12" s="91"/>
      <c r="C12" s="91" t="s">
        <v>84</v>
      </c>
      <c r="D12" s="339" t="s">
        <v>281</v>
      </c>
      <c r="E12" s="348">
        <f>'4.sz.m.ÖNK kiadás'!E13</f>
        <v>11431025</v>
      </c>
      <c r="F12" s="286">
        <f>'4.sz.m.ÖNK kiadás'!F13</f>
        <v>13421525</v>
      </c>
      <c r="G12" s="286">
        <f>'4.sz.m.ÖNK kiadás'!G13</f>
        <v>13321165</v>
      </c>
      <c r="H12" s="286">
        <f>'4.sz.m.ÖNK kiadás'!H13</f>
        <v>13321165</v>
      </c>
      <c r="I12" s="286">
        <f>'4.sz.m.ÖNK kiadás'!I13</f>
        <v>11521165</v>
      </c>
      <c r="J12" s="286">
        <f>'4.sz.m.ÖNK kiadás'!J13</f>
        <v>11553645</v>
      </c>
      <c r="K12" s="348">
        <f t="shared" si="2"/>
        <v>0</v>
      </c>
      <c r="L12" s="286">
        <f t="shared" si="2"/>
        <v>0</v>
      </c>
      <c r="M12" s="286">
        <f t="shared" si="2"/>
        <v>0</v>
      </c>
      <c r="N12" s="286">
        <f t="shared" si="2"/>
        <v>0</v>
      </c>
      <c r="O12" s="286">
        <f t="shared" si="2"/>
        <v>0</v>
      </c>
      <c r="P12" s="286">
        <f t="shared" si="2"/>
        <v>0</v>
      </c>
      <c r="Q12" s="748"/>
      <c r="R12" s="348">
        <f>'4.sz.m.ÖNK kiadás'!S13</f>
        <v>11431025</v>
      </c>
      <c r="S12" s="286">
        <f>'4.sz.m.ÖNK kiadás'!T13</f>
        <v>13421525</v>
      </c>
      <c r="T12" s="286">
        <f>'4.sz.m.ÖNK kiadás'!U13</f>
        <v>13321165</v>
      </c>
      <c r="U12" s="286">
        <f>'4.sz.m.ÖNK kiadás'!V13</f>
        <v>13321165</v>
      </c>
      <c r="V12" s="286">
        <f>'4.sz.m.ÖNK kiadás'!W13</f>
        <v>11521165</v>
      </c>
      <c r="W12" s="286">
        <f>'4.sz.m.ÖNK kiadás'!X13</f>
        <v>11553645</v>
      </c>
      <c r="X12" s="348">
        <v>0</v>
      </c>
      <c r="Y12" s="286"/>
      <c r="Z12" s="286"/>
      <c r="AA12" s="286"/>
      <c r="AB12" s="286"/>
      <c r="AC12" s="286"/>
      <c r="AD12" s="819"/>
    </row>
    <row r="13" spans="1:30" s="5" customFormat="1" ht="54.75" customHeight="1" thickBot="1">
      <c r="A13" s="110"/>
      <c r="B13" s="111"/>
      <c r="C13" s="91" t="s">
        <v>85</v>
      </c>
      <c r="D13" s="339" t="s">
        <v>282</v>
      </c>
      <c r="E13" s="348">
        <f>'4.sz.m.ÖNK kiadás'!E14</f>
        <v>119382117</v>
      </c>
      <c r="F13" s="286">
        <f>'4.sz.m.ÖNK kiadás'!F14</f>
        <v>119382117</v>
      </c>
      <c r="G13" s="286">
        <f>'4.sz.m.ÖNK kiadás'!G14</f>
        <v>119327217</v>
      </c>
      <c r="H13" s="286">
        <f>'4.sz.m.ÖNK kiadás'!H14</f>
        <v>119327217</v>
      </c>
      <c r="I13" s="286">
        <f>'4.sz.m.ÖNK kiadás'!I14</f>
        <v>124953574</v>
      </c>
      <c r="J13" s="286">
        <f>'4.sz.m.ÖNK kiadás'!J14</f>
        <v>140888298</v>
      </c>
      <c r="K13" s="348">
        <f t="shared" si="2"/>
        <v>117514355</v>
      </c>
      <c r="L13" s="286">
        <f t="shared" si="2"/>
        <v>117514355</v>
      </c>
      <c r="M13" s="286">
        <f t="shared" si="2"/>
        <v>117514355</v>
      </c>
      <c r="N13" s="286">
        <f t="shared" si="2"/>
        <v>117514355</v>
      </c>
      <c r="O13" s="286">
        <f t="shared" si="2"/>
        <v>123140712</v>
      </c>
      <c r="P13" s="286">
        <f t="shared" si="2"/>
        <v>139075436</v>
      </c>
      <c r="Q13" s="748" t="e">
        <f>#REF!/N13</f>
        <v>#REF!</v>
      </c>
      <c r="R13" s="348">
        <f>'4.sz.m.ÖNK kiadás'!S14</f>
        <v>1867762</v>
      </c>
      <c r="S13" s="286">
        <f>'4.sz.m.ÖNK kiadás'!T14</f>
        <v>1867762</v>
      </c>
      <c r="T13" s="286">
        <f>'4.sz.m.ÖNK kiadás'!U14</f>
        <v>1812862</v>
      </c>
      <c r="U13" s="286">
        <f>'4.sz.m.ÖNK kiadás'!V14</f>
        <v>1812862</v>
      </c>
      <c r="V13" s="286">
        <f>'4.sz.m.ÖNK kiadás'!W14</f>
        <v>1812862</v>
      </c>
      <c r="W13" s="286">
        <f>'4.sz.m.ÖNK kiadás'!X14</f>
        <v>1812862</v>
      </c>
      <c r="X13" s="348">
        <v>0</v>
      </c>
      <c r="Y13" s="286"/>
      <c r="Z13" s="286"/>
      <c r="AA13" s="286"/>
      <c r="AB13" s="286"/>
      <c r="AC13" s="286"/>
      <c r="AD13" s="819"/>
    </row>
    <row r="14" spans="1:30" s="5" customFormat="1" ht="33" customHeight="1" hidden="1">
      <c r="A14" s="82"/>
      <c r="B14" s="91"/>
      <c r="C14" s="91" t="s">
        <v>88</v>
      </c>
      <c r="D14" s="339" t="s">
        <v>90</v>
      </c>
      <c r="E14" s="348"/>
      <c r="F14" s="286"/>
      <c r="G14" s="286"/>
      <c r="H14" s="286"/>
      <c r="I14" s="286"/>
      <c r="J14" s="286"/>
      <c r="K14" s="348"/>
      <c r="L14" s="286"/>
      <c r="M14" s="286"/>
      <c r="N14" s="286"/>
      <c r="O14" s="286"/>
      <c r="P14" s="286"/>
      <c r="Q14" s="748" t="e">
        <f>#REF!/N14</f>
        <v>#REF!</v>
      </c>
      <c r="R14" s="348">
        <f>'4.sz.m.ÖNK kiadás'!S15</f>
        <v>0</v>
      </c>
      <c r="S14" s="286">
        <f>'4.sz.m.ÖNK kiadás'!T15</f>
        <v>0</v>
      </c>
      <c r="T14" s="286">
        <f>'4.sz.m.ÖNK kiadás'!U15</f>
        <v>0</v>
      </c>
      <c r="U14" s="286">
        <f>'4.sz.m.ÖNK kiadás'!V15</f>
        <v>0</v>
      </c>
      <c r="V14" s="286">
        <f>'4.sz.m.ÖNK kiadás'!W15</f>
        <v>0</v>
      </c>
      <c r="W14" s="286">
        <f>'4.sz.m.ÖNK kiadás'!X15</f>
        <v>0</v>
      </c>
      <c r="X14" s="348"/>
      <c r="Y14" s="286"/>
      <c r="Z14" s="286"/>
      <c r="AA14" s="286"/>
      <c r="AB14" s="286"/>
      <c r="AC14" s="286"/>
      <c r="AD14" s="819"/>
    </row>
    <row r="15" spans="1:30" s="5" customFormat="1" ht="33" customHeight="1" hidden="1" thickBot="1">
      <c r="A15" s="118"/>
      <c r="B15" s="105"/>
      <c r="C15" s="105" t="s">
        <v>89</v>
      </c>
      <c r="D15" s="342" t="s">
        <v>91</v>
      </c>
      <c r="E15" s="348"/>
      <c r="F15" s="286"/>
      <c r="G15" s="286"/>
      <c r="H15" s="286"/>
      <c r="I15" s="286"/>
      <c r="J15" s="286"/>
      <c r="K15" s="348"/>
      <c r="L15" s="286"/>
      <c r="M15" s="286"/>
      <c r="N15" s="286"/>
      <c r="O15" s="286"/>
      <c r="P15" s="286"/>
      <c r="Q15" s="748" t="e">
        <f>#REF!/N15</f>
        <v>#REF!</v>
      </c>
      <c r="R15" s="348">
        <f>'4.sz.m.ÖNK kiadás'!S16</f>
        <v>0</v>
      </c>
      <c r="S15" s="286">
        <f>'4.sz.m.ÖNK kiadás'!T16</f>
        <v>0</v>
      </c>
      <c r="T15" s="286">
        <f>'4.sz.m.ÖNK kiadás'!U16</f>
        <v>0</v>
      </c>
      <c r="U15" s="286">
        <f>'4.sz.m.ÖNK kiadás'!V16</f>
        <v>0</v>
      </c>
      <c r="V15" s="286">
        <f>'4.sz.m.ÖNK kiadás'!W16</f>
        <v>0</v>
      </c>
      <c r="W15" s="286">
        <f>'4.sz.m.ÖNK kiadás'!X16</f>
        <v>0</v>
      </c>
      <c r="X15" s="348"/>
      <c r="Y15" s="286"/>
      <c r="Z15" s="286"/>
      <c r="AA15" s="286"/>
      <c r="AB15" s="286"/>
      <c r="AC15" s="286"/>
      <c r="AD15" s="819"/>
    </row>
    <row r="16" spans="1:30" s="5" customFormat="1" ht="33" customHeight="1" thickBot="1">
      <c r="A16" s="100" t="s">
        <v>28</v>
      </c>
      <c r="B16" s="1161" t="s">
        <v>92</v>
      </c>
      <c r="C16" s="1161"/>
      <c r="D16" s="1161"/>
      <c r="E16" s="349">
        <f aca="true" t="shared" si="4" ref="E16:P16">SUM(E17:E19)</f>
        <v>109800042</v>
      </c>
      <c r="F16" s="64">
        <f t="shared" si="4"/>
        <v>110307801</v>
      </c>
      <c r="G16" s="64">
        <f t="shared" si="4"/>
        <v>132292875</v>
      </c>
      <c r="H16" s="64">
        <f t="shared" si="4"/>
        <v>292483567</v>
      </c>
      <c r="I16" s="64">
        <f t="shared" si="4"/>
        <v>301386237</v>
      </c>
      <c r="J16" s="64">
        <f t="shared" si="4"/>
        <v>310133502</v>
      </c>
      <c r="K16" s="349">
        <f t="shared" si="4"/>
        <v>106800042</v>
      </c>
      <c r="L16" s="64">
        <f t="shared" si="4"/>
        <v>107307801</v>
      </c>
      <c r="M16" s="64">
        <f t="shared" si="4"/>
        <v>129292875</v>
      </c>
      <c r="N16" s="64">
        <f t="shared" si="4"/>
        <v>289483567</v>
      </c>
      <c r="O16" s="64">
        <f t="shared" si="4"/>
        <v>296516237</v>
      </c>
      <c r="P16" s="64">
        <f t="shared" si="4"/>
        <v>305263502</v>
      </c>
      <c r="Q16" s="746" t="e">
        <f>#REF!/N16</f>
        <v>#REF!</v>
      </c>
      <c r="R16" s="349">
        <f aca="true" t="shared" si="5" ref="R16:W16">SUM(R17:R19)</f>
        <v>3000000</v>
      </c>
      <c r="S16" s="64">
        <f t="shared" si="5"/>
        <v>3000000</v>
      </c>
      <c r="T16" s="64">
        <f t="shared" si="5"/>
        <v>3000000</v>
      </c>
      <c r="U16" s="64">
        <f t="shared" si="5"/>
        <v>3000000</v>
      </c>
      <c r="V16" s="64">
        <f t="shared" si="5"/>
        <v>4870000</v>
      </c>
      <c r="W16" s="64">
        <f t="shared" si="5"/>
        <v>4870000</v>
      </c>
      <c r="X16" s="349">
        <f aca="true" t="shared" si="6" ref="X16:AD16">SUM(X17:X19)</f>
        <v>0</v>
      </c>
      <c r="Y16" s="64">
        <f t="shared" si="6"/>
        <v>0</v>
      </c>
      <c r="Z16" s="64">
        <f t="shared" si="6"/>
        <v>0</v>
      </c>
      <c r="AA16" s="64">
        <f t="shared" si="6"/>
        <v>0</v>
      </c>
      <c r="AB16" s="64">
        <f t="shared" si="6"/>
        <v>0</v>
      </c>
      <c r="AC16" s="64">
        <f t="shared" si="6"/>
        <v>0</v>
      </c>
      <c r="AD16" s="820">
        <f t="shared" si="6"/>
        <v>0</v>
      </c>
    </row>
    <row r="17" spans="1:30" s="5" customFormat="1" ht="33" customHeight="1">
      <c r="A17" s="99"/>
      <c r="B17" s="104" t="s">
        <v>39</v>
      </c>
      <c r="C17" s="1166" t="s">
        <v>93</v>
      </c>
      <c r="D17" s="1166"/>
      <c r="E17" s="348">
        <f>'4.sz.m.ÖNK kiadás'!E18+'5.1 sz. m Köz Hiv'!D41+'5.2 sz. m ÁMK'!D44+'üres lap'!D33</f>
        <v>12165042</v>
      </c>
      <c r="F17" s="286">
        <f>'4.sz.m.ÖNK kiadás'!F18+'5.1 sz. m Köz Hiv'!E41+'5.2 sz. m ÁMK'!E44+'üres lap'!E33</f>
        <v>12672801</v>
      </c>
      <c r="G17" s="286">
        <f>'4.sz.m.ÖNK kiadás'!G18+'5.1 sz. m Köz Hiv'!F41+'5.2 sz. m ÁMK'!F44+'üres lap'!F33</f>
        <v>13322601</v>
      </c>
      <c r="H17" s="286">
        <f>'4.sz.m.ÖNK kiadás'!H18+'5.1 sz. m Köz Hiv'!G41+'5.2 sz. m ÁMK'!G44+'üres lap'!G33</f>
        <v>99128123</v>
      </c>
      <c r="I17" s="286">
        <f>'4.sz.m.ÖNK kiadás'!I18+'5.1 sz. m Köz Hiv'!H41+'5.2 sz. m ÁMK'!H44+'üres lap'!H33</f>
        <v>99293593</v>
      </c>
      <c r="J17" s="286">
        <f>'4.sz.m.ÖNK kiadás'!J18+'5.1 sz. m Köz Hiv'!I41+'5.2 sz. m ÁMK'!I44+'üres lap'!I33</f>
        <v>99177577</v>
      </c>
      <c r="K17" s="348">
        <f>'4.sz.m.ÖNK kiadás'!L18+'5.1 sz. m Köz Hiv'!L41+'5.2 sz. m ÁMK'!L44</f>
        <v>12165042</v>
      </c>
      <c r="L17" s="286">
        <f>'4.sz.m.ÖNK kiadás'!M18+'5.1 sz. m Köz Hiv'!M41+'5.2 sz. m ÁMK'!M44</f>
        <v>12672801</v>
      </c>
      <c r="M17" s="286">
        <f>'4.sz.m.ÖNK kiadás'!N18+'5.1 sz. m Köz Hiv'!N41+'5.2 sz. m ÁMK'!N44</f>
        <v>13322601</v>
      </c>
      <c r="N17" s="286">
        <f>'4.sz.m.ÖNK kiadás'!O18+'5.1 sz. m Köz Hiv'!O41+'5.2 sz. m ÁMK'!O44+'üres lap'!M33</f>
        <v>99128123</v>
      </c>
      <c r="O17" s="286">
        <f>'4.sz.m.ÖNK kiadás'!P18+'5.1 sz. m Köz Hiv'!P41+'5.2 sz. m ÁMK'!P44+'üres lap'!N33</f>
        <v>99293593</v>
      </c>
      <c r="P17" s="286">
        <f>'4.sz.m.ÖNK kiadás'!Q18+'5.1 sz. m Köz Hiv'!Q41+'5.2 sz. m ÁMK'!Q44+'üres lap'!O33</f>
        <v>99177577</v>
      </c>
      <c r="Q17" s="748" t="e">
        <f>#REF!/N17</f>
        <v>#REF!</v>
      </c>
      <c r="R17" s="348">
        <f>'4.sz.m.ÖNK kiadás'!S18</f>
        <v>0</v>
      </c>
      <c r="S17" s="286">
        <f>'4.sz.m.ÖNK kiadás'!T18</f>
        <v>0</v>
      </c>
      <c r="T17" s="286">
        <f>'4.sz.m.ÖNK kiadás'!U18</f>
        <v>0</v>
      </c>
      <c r="U17" s="286">
        <f>'4.sz.m.ÖNK kiadás'!V18</f>
        <v>0</v>
      </c>
      <c r="V17" s="286">
        <f>'4.sz.m.ÖNK kiadás'!W18</f>
        <v>0</v>
      </c>
      <c r="W17" s="286">
        <f>'4.sz.m.ÖNK kiadás'!X18</f>
        <v>0</v>
      </c>
      <c r="X17" s="348">
        <v>0</v>
      </c>
      <c r="Y17" s="286"/>
      <c r="Z17" s="286"/>
      <c r="AA17" s="286"/>
      <c r="AB17" s="286"/>
      <c r="AC17" s="286"/>
      <c r="AD17" s="819"/>
    </row>
    <row r="18" spans="1:30" s="5" customFormat="1" ht="33" customHeight="1">
      <c r="A18" s="82"/>
      <c r="B18" s="91" t="s">
        <v>40</v>
      </c>
      <c r="C18" s="1167" t="s">
        <v>94</v>
      </c>
      <c r="D18" s="1167"/>
      <c r="E18" s="348">
        <f>'4.sz.m.ÖNK kiadás'!E19</f>
        <v>94635000</v>
      </c>
      <c r="F18" s="286">
        <f>'4.sz.m.ÖNK kiadás'!F19+'5.2 sz. m ÁMK'!E46</f>
        <v>94635000</v>
      </c>
      <c r="G18" s="286">
        <f>'4.sz.m.ÖNK kiadás'!G19+'5.2 sz. m ÁMK'!F46</f>
        <v>115970274</v>
      </c>
      <c r="H18" s="286">
        <f>'4.sz.m.ÖNK kiadás'!H19+'5.2 sz. m ÁMK'!G46</f>
        <v>190355444</v>
      </c>
      <c r="I18" s="286">
        <f>'4.sz.m.ÖNK kiadás'!I19+'5.2 sz. m ÁMK'!H46</f>
        <v>197222644</v>
      </c>
      <c r="J18" s="286">
        <f>'4.sz.m.ÖNK kiadás'!J19+'5.2 sz. m ÁMK'!I46</f>
        <v>206085925</v>
      </c>
      <c r="K18" s="348">
        <f>'4.sz.m.ÖNK kiadás'!L19+'5.1 sz. m Köz Hiv'!L42+'5.2 sz. m ÁMK'!L45</f>
        <v>94635000</v>
      </c>
      <c r="L18" s="286">
        <f>'4.sz.m.ÖNK kiadás'!M19+'5.1 sz. m Köz Hiv'!M42+'5.2 sz. m ÁMK'!M45</f>
        <v>94635000</v>
      </c>
      <c r="M18" s="286">
        <f>'4.sz.m.ÖNK kiadás'!N19+'5.1 sz. m Köz Hiv'!N42+'5.2 sz. m ÁMK'!N45</f>
        <v>115970274</v>
      </c>
      <c r="N18" s="286">
        <f>'4.sz.m.ÖNK kiadás'!O19+'5.2 sz. m ÁMK'!O46</f>
        <v>190355444</v>
      </c>
      <c r="O18" s="286">
        <f>'4.sz.m.ÖNK kiadás'!P19+'5.2 sz. m ÁMK'!P46</f>
        <v>197222644</v>
      </c>
      <c r="P18" s="286">
        <f>'4.sz.m.ÖNK kiadás'!Q19+'5.2 sz. m ÁMK'!Q46</f>
        <v>206085925</v>
      </c>
      <c r="Q18" s="748" t="e">
        <f>#REF!/N18</f>
        <v>#REF!</v>
      </c>
      <c r="R18" s="348">
        <f>'4.sz.m.ÖNK kiadás'!S19</f>
        <v>0</v>
      </c>
      <c r="S18" s="286">
        <f>'4.sz.m.ÖNK kiadás'!T19</f>
        <v>0</v>
      </c>
      <c r="T18" s="286">
        <f>'4.sz.m.ÖNK kiadás'!U19</f>
        <v>0</v>
      </c>
      <c r="U18" s="286">
        <f>'4.sz.m.ÖNK kiadás'!V19</f>
        <v>0</v>
      </c>
      <c r="V18" s="286">
        <f>'4.sz.m.ÖNK kiadás'!W19</f>
        <v>0</v>
      </c>
      <c r="W18" s="286">
        <f>'4.sz.m.ÖNK kiadás'!X19</f>
        <v>0</v>
      </c>
      <c r="X18" s="348">
        <v>0</v>
      </c>
      <c r="Y18" s="286"/>
      <c r="Z18" s="286"/>
      <c r="AA18" s="286"/>
      <c r="AB18" s="286"/>
      <c r="AC18" s="286"/>
      <c r="AD18" s="819"/>
    </row>
    <row r="19" spans="1:30" s="5" customFormat="1" ht="33" customHeight="1">
      <c r="A19" s="112"/>
      <c r="B19" s="91" t="s">
        <v>41</v>
      </c>
      <c r="C19" s="1158" t="s">
        <v>95</v>
      </c>
      <c r="D19" s="1158"/>
      <c r="E19" s="348">
        <f>'4.sz.m.ÖNK kiadás'!E20</f>
        <v>3000000</v>
      </c>
      <c r="F19" s="286">
        <f>'4.sz.m.ÖNK kiadás'!F20</f>
        <v>3000000</v>
      </c>
      <c r="G19" s="286">
        <f>'4.sz.m.ÖNK kiadás'!G20</f>
        <v>3000000</v>
      </c>
      <c r="H19" s="286">
        <f>'4.sz.m.ÖNK kiadás'!H20</f>
        <v>3000000</v>
      </c>
      <c r="I19" s="286">
        <f>'4.sz.m.ÖNK kiadás'!I20</f>
        <v>4870000</v>
      </c>
      <c r="J19" s="286">
        <f>'4.sz.m.ÖNK kiadás'!J20</f>
        <v>4870000</v>
      </c>
      <c r="K19" s="348">
        <f>'4.sz.m.ÖNK kiadás'!L20</f>
        <v>0</v>
      </c>
      <c r="L19" s="286">
        <f>'4.sz.m.ÖNK kiadás'!M20</f>
        <v>0</v>
      </c>
      <c r="M19" s="286">
        <f>'4.sz.m.ÖNK kiadás'!N20</f>
        <v>0</v>
      </c>
      <c r="N19" s="286">
        <f>'4.sz.m.ÖNK kiadás'!O20</f>
        <v>0</v>
      </c>
      <c r="O19" s="286">
        <f>'4.sz.m.ÖNK kiadás'!P20</f>
        <v>0</v>
      </c>
      <c r="P19" s="286">
        <f>'4.sz.m.ÖNK kiadás'!Q20</f>
        <v>0</v>
      </c>
      <c r="Q19" s="748"/>
      <c r="R19" s="348">
        <f>'4.sz.m.ÖNK kiadás'!S20</f>
        <v>3000000</v>
      </c>
      <c r="S19" s="286">
        <f>'4.sz.m.ÖNK kiadás'!T20</f>
        <v>3000000</v>
      </c>
      <c r="T19" s="286">
        <f>'4.sz.m.ÖNK kiadás'!U20</f>
        <v>3000000</v>
      </c>
      <c r="U19" s="286">
        <f>'4.sz.m.ÖNK kiadás'!V20</f>
        <v>3000000</v>
      </c>
      <c r="V19" s="286">
        <f>'4.sz.m.ÖNK kiadás'!W20</f>
        <v>4870000</v>
      </c>
      <c r="W19" s="286">
        <f>'4.sz.m.ÖNK kiadás'!X20</f>
        <v>4870000</v>
      </c>
      <c r="X19" s="348">
        <v>0</v>
      </c>
      <c r="Y19" s="286"/>
      <c r="Z19" s="286"/>
      <c r="AA19" s="286"/>
      <c r="AB19" s="286"/>
      <c r="AC19" s="286"/>
      <c r="AD19" s="819"/>
    </row>
    <row r="20" spans="1:30" s="5" customFormat="1" ht="33" customHeight="1">
      <c r="A20" s="88"/>
      <c r="B20" s="92"/>
      <c r="C20" s="92" t="s">
        <v>96</v>
      </c>
      <c r="D20" s="242" t="s">
        <v>86</v>
      </c>
      <c r="E20" s="348">
        <f>'4.sz.m.ÖNK kiadás'!E21</f>
        <v>3000000</v>
      </c>
      <c r="F20" s="286">
        <f>'4.sz.m.ÖNK kiadás'!F21</f>
        <v>3000000</v>
      </c>
      <c r="G20" s="286">
        <f>'4.sz.m.ÖNK kiadás'!G21</f>
        <v>3000000</v>
      </c>
      <c r="H20" s="286">
        <f>'4.sz.m.ÖNK kiadás'!H21</f>
        <v>3000000</v>
      </c>
      <c r="I20" s="286">
        <f>'4.sz.m.ÖNK kiadás'!I21</f>
        <v>4870000</v>
      </c>
      <c r="J20" s="286">
        <f>'4.sz.m.ÖNK kiadás'!J21</f>
        <v>4870000</v>
      </c>
      <c r="K20" s="348">
        <f>'4.sz.m.ÖNK kiadás'!L21</f>
        <v>0</v>
      </c>
      <c r="L20" s="286">
        <f>'4.sz.m.ÖNK kiadás'!M21</f>
        <v>0</v>
      </c>
      <c r="M20" s="286">
        <f>'4.sz.m.ÖNK kiadás'!N21</f>
        <v>0</v>
      </c>
      <c r="N20" s="286">
        <f>'4.sz.m.ÖNK kiadás'!O21</f>
        <v>0</v>
      </c>
      <c r="O20" s="286">
        <f>'4.sz.m.ÖNK kiadás'!P21</f>
        <v>0</v>
      </c>
      <c r="P20" s="286">
        <f>'4.sz.m.ÖNK kiadás'!Q21</f>
        <v>0</v>
      </c>
      <c r="Q20" s="748"/>
      <c r="R20" s="348">
        <f>'4.sz.m.ÖNK kiadás'!S21</f>
        <v>3000000</v>
      </c>
      <c r="S20" s="286">
        <f>'4.sz.m.ÖNK kiadás'!T21</f>
        <v>3000000</v>
      </c>
      <c r="T20" s="286">
        <f>'4.sz.m.ÖNK kiadás'!U21</f>
        <v>3000000</v>
      </c>
      <c r="U20" s="286">
        <f>'4.sz.m.ÖNK kiadás'!V21</f>
        <v>3000000</v>
      </c>
      <c r="V20" s="286">
        <f>'4.sz.m.ÖNK kiadás'!W21</f>
        <v>4870000</v>
      </c>
      <c r="W20" s="286">
        <f>'4.sz.m.ÖNK kiadás'!X21</f>
        <v>4870000</v>
      </c>
      <c r="X20" s="348">
        <v>0</v>
      </c>
      <c r="Y20" s="286"/>
      <c r="Z20" s="286"/>
      <c r="AA20" s="286"/>
      <c r="AB20" s="286"/>
      <c r="AC20" s="286"/>
      <c r="AD20" s="819"/>
    </row>
    <row r="21" spans="1:30" s="5" customFormat="1" ht="33" customHeight="1">
      <c r="A21" s="88"/>
      <c r="B21" s="92"/>
      <c r="C21" s="92" t="s">
        <v>97</v>
      </c>
      <c r="D21" s="242" t="s">
        <v>87</v>
      </c>
      <c r="E21" s="348">
        <f>'4.sz.m.ÖNK kiadás'!E22</f>
        <v>0</v>
      </c>
      <c r="F21" s="286">
        <f>'4.sz.m.ÖNK kiadás'!F22</f>
        <v>0</v>
      </c>
      <c r="G21" s="286">
        <f>'4.sz.m.ÖNK kiadás'!G22</f>
        <v>0</v>
      </c>
      <c r="H21" s="286">
        <f>'4.sz.m.ÖNK kiadás'!H22</f>
        <v>0</v>
      </c>
      <c r="I21" s="286">
        <f>'4.sz.m.ÖNK kiadás'!I22</f>
        <v>0</v>
      </c>
      <c r="J21" s="286">
        <f>'4.sz.m.ÖNK kiadás'!J22</f>
        <v>0</v>
      </c>
      <c r="K21" s="348">
        <f>'4.sz.m.ÖNK kiadás'!L22</f>
        <v>0</v>
      </c>
      <c r="L21" s="286">
        <f>'4.sz.m.ÖNK kiadás'!M22</f>
        <v>0</v>
      </c>
      <c r="M21" s="286">
        <f>'4.sz.m.ÖNK kiadás'!N22</f>
        <v>0</v>
      </c>
      <c r="N21" s="286">
        <f>'4.sz.m.ÖNK kiadás'!O22</f>
        <v>0</v>
      </c>
      <c r="O21" s="286">
        <f>'4.sz.m.ÖNK kiadás'!P22</f>
        <v>0</v>
      </c>
      <c r="P21" s="286">
        <f>'4.sz.m.ÖNK kiadás'!Q22</f>
        <v>0</v>
      </c>
      <c r="Q21" s="748"/>
      <c r="R21" s="348">
        <v>0</v>
      </c>
      <c r="S21" s="286"/>
      <c r="T21" s="286"/>
      <c r="U21" s="286"/>
      <c r="V21" s="286"/>
      <c r="W21" s="286"/>
      <c r="X21" s="348">
        <v>0</v>
      </c>
      <c r="Y21" s="286"/>
      <c r="Z21" s="286"/>
      <c r="AA21" s="286"/>
      <c r="AB21" s="286"/>
      <c r="AC21" s="286"/>
      <c r="AD21" s="819"/>
    </row>
    <row r="22" spans="1:30" s="5" customFormat="1" ht="33" customHeight="1">
      <c r="A22" s="112"/>
      <c r="B22" s="242"/>
      <c r="C22" s="92" t="s">
        <v>98</v>
      </c>
      <c r="D22" s="242" t="s">
        <v>500</v>
      </c>
      <c r="E22" s="348">
        <f>'4.sz.m.ÖNK kiadás'!E23</f>
        <v>0</v>
      </c>
      <c r="F22" s="286">
        <f>'4.sz.m.ÖNK kiadás'!F23</f>
        <v>0</v>
      </c>
      <c r="G22" s="286">
        <f>'4.sz.m.ÖNK kiadás'!G23</f>
        <v>0</v>
      </c>
      <c r="H22" s="286">
        <f>'4.sz.m.ÖNK kiadás'!H23</f>
        <v>0</v>
      </c>
      <c r="I22" s="286">
        <f>'4.sz.m.ÖNK kiadás'!I23</f>
        <v>0</v>
      </c>
      <c r="J22" s="286">
        <f>'4.sz.m.ÖNK kiadás'!J23</f>
        <v>0</v>
      </c>
      <c r="K22" s="348">
        <f>'4.sz.m.ÖNK kiadás'!L23</f>
        <v>0</v>
      </c>
      <c r="L22" s="286">
        <f>'4.sz.m.ÖNK kiadás'!M23</f>
        <v>0</v>
      </c>
      <c r="M22" s="286">
        <f>'4.sz.m.ÖNK kiadás'!N23</f>
        <v>0</v>
      </c>
      <c r="N22" s="286">
        <f>'4.sz.m.ÖNK kiadás'!O23</f>
        <v>0</v>
      </c>
      <c r="O22" s="286">
        <f>'4.sz.m.ÖNK kiadás'!P23</f>
        <v>0</v>
      </c>
      <c r="P22" s="286">
        <f>'4.sz.m.ÖNK kiadás'!Q23</f>
        <v>0</v>
      </c>
      <c r="Q22" s="748"/>
      <c r="R22" s="348">
        <v>0</v>
      </c>
      <c r="S22" s="286"/>
      <c r="T22" s="286"/>
      <c r="U22" s="286">
        <f>'4.sz.m.ÖNK kiadás'!V23</f>
        <v>0</v>
      </c>
      <c r="V22" s="286">
        <f>'4.sz.m.ÖNK kiadás'!W23</f>
        <v>0</v>
      </c>
      <c r="W22" s="286">
        <f>'4.sz.m.ÖNK kiadás'!X23</f>
        <v>0</v>
      </c>
      <c r="X22" s="348">
        <v>0</v>
      </c>
      <c r="Y22" s="286"/>
      <c r="Z22" s="286"/>
      <c r="AA22" s="286"/>
      <c r="AB22" s="286"/>
      <c r="AC22" s="286"/>
      <c r="AD22" s="819"/>
    </row>
    <row r="23" spans="1:30" s="5" customFormat="1" ht="33" customHeight="1" thickBot="1">
      <c r="A23" s="267"/>
      <c r="B23" s="268"/>
      <c r="C23" s="269" t="s">
        <v>209</v>
      </c>
      <c r="D23" s="268" t="s">
        <v>210</v>
      </c>
      <c r="E23" s="348">
        <f>'4.sz.m.ÖNK kiadás'!E24</f>
        <v>0</v>
      </c>
      <c r="F23" s="286">
        <f>'4.sz.m.ÖNK kiadás'!F24</f>
        <v>0</v>
      </c>
      <c r="G23" s="286">
        <f>'4.sz.m.ÖNK kiadás'!G24</f>
        <v>0</v>
      </c>
      <c r="H23" s="286">
        <f>'4.sz.m.ÖNK kiadás'!H24</f>
        <v>0</v>
      </c>
      <c r="I23" s="286">
        <f>'4.sz.m.ÖNK kiadás'!I24</f>
        <v>0</v>
      </c>
      <c r="J23" s="286">
        <f>'4.sz.m.ÖNK kiadás'!J24</f>
        <v>0</v>
      </c>
      <c r="K23" s="348">
        <f>'4.sz.m.ÖNK kiadás'!L24</f>
        <v>0</v>
      </c>
      <c r="L23" s="286">
        <f>'4.sz.m.ÖNK kiadás'!M24</f>
        <v>0</v>
      </c>
      <c r="M23" s="286">
        <f>'4.sz.m.ÖNK kiadás'!N24</f>
        <v>0</v>
      </c>
      <c r="N23" s="286">
        <f>'4.sz.m.ÖNK kiadás'!O24</f>
        <v>0</v>
      </c>
      <c r="O23" s="286">
        <f>'4.sz.m.ÖNK kiadás'!P24</f>
        <v>0</v>
      </c>
      <c r="P23" s="286">
        <f>'4.sz.m.ÖNK kiadás'!Q24</f>
        <v>0</v>
      </c>
      <c r="Q23" s="748"/>
      <c r="R23" s="348">
        <v>0</v>
      </c>
      <c r="S23" s="286"/>
      <c r="T23" s="286"/>
      <c r="U23" s="286"/>
      <c r="V23" s="286"/>
      <c r="W23" s="286"/>
      <c r="X23" s="348">
        <v>0</v>
      </c>
      <c r="Y23" s="286"/>
      <c r="Z23" s="286"/>
      <c r="AA23" s="286"/>
      <c r="AB23" s="286"/>
      <c r="AC23" s="286"/>
      <c r="AD23" s="819"/>
    </row>
    <row r="24" spans="1:30" s="5" customFormat="1" ht="33" customHeight="1" thickBot="1">
      <c r="A24" s="100" t="s">
        <v>10</v>
      </c>
      <c r="B24" s="1161" t="s">
        <v>99</v>
      </c>
      <c r="C24" s="1161"/>
      <c r="D24" s="1161"/>
      <c r="E24" s="349">
        <f aca="true" t="shared" si="7" ref="E24:P24">SUM(E25:E27)</f>
        <v>77908803</v>
      </c>
      <c r="F24" s="64">
        <f t="shared" si="7"/>
        <v>75176682</v>
      </c>
      <c r="G24" s="64">
        <f t="shared" si="7"/>
        <v>54733454</v>
      </c>
      <c r="H24" s="64">
        <f t="shared" si="7"/>
        <v>63534084</v>
      </c>
      <c r="I24" s="64">
        <f t="shared" si="7"/>
        <v>57410165</v>
      </c>
      <c r="J24" s="64">
        <f t="shared" si="7"/>
        <v>0</v>
      </c>
      <c r="K24" s="349">
        <f t="shared" si="7"/>
        <v>77908803</v>
      </c>
      <c r="L24" s="64">
        <f t="shared" si="7"/>
        <v>75176682</v>
      </c>
      <c r="M24" s="64">
        <f t="shared" si="7"/>
        <v>54733454</v>
      </c>
      <c r="N24" s="64">
        <f t="shared" si="7"/>
        <v>63534084</v>
      </c>
      <c r="O24" s="64">
        <f t="shared" si="7"/>
        <v>57410165</v>
      </c>
      <c r="P24" s="64">
        <f t="shared" si="7"/>
        <v>0</v>
      </c>
      <c r="Q24" s="746" t="e">
        <f>#REF!/N24</f>
        <v>#REF!</v>
      </c>
      <c r="R24" s="349">
        <f aca="true" t="shared" si="8" ref="R24:Z24">SUM(R25:R27)</f>
        <v>0</v>
      </c>
      <c r="S24" s="64">
        <f>SUM(S25:S27)</f>
        <v>0</v>
      </c>
      <c r="T24" s="64">
        <f>SUM(T25:T27)</f>
        <v>0</v>
      </c>
      <c r="U24" s="64">
        <f>SUM(U25:U27)</f>
        <v>0</v>
      </c>
      <c r="V24" s="64">
        <f>SUM(V25:V27)</f>
        <v>0</v>
      </c>
      <c r="W24" s="64">
        <f>SUM(W25:W27)</f>
        <v>0</v>
      </c>
      <c r="X24" s="349">
        <f t="shared" si="8"/>
        <v>0</v>
      </c>
      <c r="Y24" s="64">
        <f t="shared" si="8"/>
        <v>0</v>
      </c>
      <c r="Z24" s="64">
        <f t="shared" si="8"/>
        <v>0</v>
      </c>
      <c r="AA24" s="64">
        <f>SUM(AA25:AA27)</f>
        <v>0</v>
      </c>
      <c r="AB24" s="64">
        <f>SUM(AB25:AB27)</f>
        <v>0</v>
      </c>
      <c r="AC24" s="64">
        <f>SUM(AC25:AC27)</f>
        <v>0</v>
      </c>
      <c r="AD24" s="820">
        <f>SUM(AD25:AD27)</f>
        <v>0</v>
      </c>
    </row>
    <row r="25" spans="1:30" s="5" customFormat="1" ht="33" customHeight="1">
      <c r="A25" s="99"/>
      <c r="B25" s="104" t="s">
        <v>42</v>
      </c>
      <c r="C25" s="1166" t="s">
        <v>3</v>
      </c>
      <c r="D25" s="1166"/>
      <c r="E25" s="348">
        <f>'4.sz.m.ÖNK kiadás'!E26</f>
        <v>77908803</v>
      </c>
      <c r="F25" s="286">
        <f>'4.sz.m.ÖNK kiadás'!F26</f>
        <v>75176682</v>
      </c>
      <c r="G25" s="286">
        <f>'4.sz.m.ÖNK kiadás'!G26</f>
        <v>54733454</v>
      </c>
      <c r="H25" s="286">
        <f>'4.sz.m.ÖNK kiadás'!H26</f>
        <v>63534084</v>
      </c>
      <c r="I25" s="286">
        <f>'4.sz.m.ÖNK kiadás'!I26</f>
        <v>57410165</v>
      </c>
      <c r="J25" s="286">
        <f>'4.sz.m.ÖNK kiadás'!J26</f>
        <v>0</v>
      </c>
      <c r="K25" s="348">
        <f>'4.sz.m.ÖNK kiadás'!L26</f>
        <v>77908803</v>
      </c>
      <c r="L25" s="286">
        <f>'4.sz.m.ÖNK kiadás'!M26</f>
        <v>75176682</v>
      </c>
      <c r="M25" s="286">
        <f>'4.sz.m.ÖNK kiadás'!N26</f>
        <v>54733454</v>
      </c>
      <c r="N25" s="286">
        <f>'4.sz.m.ÖNK kiadás'!O26</f>
        <v>63534084</v>
      </c>
      <c r="O25" s="286">
        <f>'4.sz.m.ÖNK kiadás'!P26</f>
        <v>57410165</v>
      </c>
      <c r="P25" s="286">
        <f>'4.sz.m.ÖNK kiadás'!Q26</f>
        <v>0</v>
      </c>
      <c r="Q25" s="286">
        <f>'4.sz.m.ÖNK kiadás'!R26</f>
        <v>0</v>
      </c>
      <c r="R25" s="348">
        <v>0</v>
      </c>
      <c r="S25" s="286"/>
      <c r="T25" s="286"/>
      <c r="U25" s="286"/>
      <c r="V25" s="286"/>
      <c r="W25" s="286"/>
      <c r="X25" s="348">
        <v>0</v>
      </c>
      <c r="Y25" s="286"/>
      <c r="Z25" s="286"/>
      <c r="AA25" s="286"/>
      <c r="AB25" s="286"/>
      <c r="AC25" s="286"/>
      <c r="AD25" s="819"/>
    </row>
    <row r="26" spans="1:30" s="8" customFormat="1" ht="33" customHeight="1">
      <c r="A26" s="113"/>
      <c r="B26" s="91" t="s">
        <v>43</v>
      </c>
      <c r="C26" s="1165" t="s">
        <v>283</v>
      </c>
      <c r="D26" s="1165"/>
      <c r="E26" s="348">
        <v>0</v>
      </c>
      <c r="F26" s="286"/>
      <c r="G26" s="286"/>
      <c r="H26" s="286"/>
      <c r="I26" s="286"/>
      <c r="J26" s="286"/>
      <c r="K26" s="348">
        <v>0</v>
      </c>
      <c r="L26" s="286"/>
      <c r="M26" s="286"/>
      <c r="N26" s="286"/>
      <c r="O26" s="286"/>
      <c r="P26" s="286"/>
      <c r="Q26" s="748"/>
      <c r="R26" s="348">
        <v>0</v>
      </c>
      <c r="S26" s="286"/>
      <c r="T26" s="286"/>
      <c r="U26" s="286"/>
      <c r="V26" s="286"/>
      <c r="W26" s="286"/>
      <c r="X26" s="348">
        <v>0</v>
      </c>
      <c r="Y26" s="286"/>
      <c r="Z26" s="286"/>
      <c r="AA26" s="286"/>
      <c r="AB26" s="286"/>
      <c r="AC26" s="286"/>
      <c r="AD26" s="819"/>
    </row>
    <row r="27" spans="1:30" s="8" customFormat="1" ht="33" customHeight="1" thickBot="1">
      <c r="A27" s="119"/>
      <c r="B27" s="105" t="s">
        <v>67</v>
      </c>
      <c r="C27" s="120" t="s">
        <v>100</v>
      </c>
      <c r="D27" s="120"/>
      <c r="E27" s="348">
        <v>0</v>
      </c>
      <c r="F27" s="286"/>
      <c r="G27" s="286"/>
      <c r="H27" s="286"/>
      <c r="I27" s="286"/>
      <c r="J27" s="286"/>
      <c r="K27" s="348">
        <v>0</v>
      </c>
      <c r="L27" s="286"/>
      <c r="M27" s="286"/>
      <c r="N27" s="286"/>
      <c r="O27" s="286"/>
      <c r="P27" s="286"/>
      <c r="Q27" s="748"/>
      <c r="R27" s="348">
        <v>0</v>
      </c>
      <c r="S27" s="286"/>
      <c r="T27" s="286"/>
      <c r="U27" s="286"/>
      <c r="V27" s="286"/>
      <c r="W27" s="286"/>
      <c r="X27" s="348">
        <v>0</v>
      </c>
      <c r="Y27" s="286"/>
      <c r="Z27" s="286"/>
      <c r="AA27" s="286"/>
      <c r="AB27" s="286"/>
      <c r="AC27" s="286"/>
      <c r="AD27" s="819"/>
    </row>
    <row r="28" spans="1:30" s="8" customFormat="1" ht="33" customHeight="1" thickBot="1">
      <c r="A28" s="80" t="s">
        <v>11</v>
      </c>
      <c r="B28" s="106" t="s">
        <v>101</v>
      </c>
      <c r="C28" s="106"/>
      <c r="D28" s="106"/>
      <c r="E28" s="350">
        <v>0</v>
      </c>
      <c r="F28" s="351">
        <v>0</v>
      </c>
      <c r="G28" s="351">
        <v>0</v>
      </c>
      <c r="H28" s="351">
        <v>0</v>
      </c>
      <c r="I28" s="351">
        <v>0</v>
      </c>
      <c r="J28" s="351">
        <v>0</v>
      </c>
      <c r="K28" s="350">
        <v>0</v>
      </c>
      <c r="L28" s="351">
        <v>0</v>
      </c>
      <c r="M28" s="351">
        <v>0</v>
      </c>
      <c r="N28" s="351">
        <v>0</v>
      </c>
      <c r="O28" s="351">
        <v>0</v>
      </c>
      <c r="P28" s="351"/>
      <c r="Q28" s="749"/>
      <c r="R28" s="350">
        <v>0</v>
      </c>
      <c r="S28" s="351"/>
      <c r="T28" s="351"/>
      <c r="U28" s="351"/>
      <c r="V28" s="351"/>
      <c r="W28" s="351"/>
      <c r="X28" s="350">
        <v>0</v>
      </c>
      <c r="Y28" s="351"/>
      <c r="Z28" s="351"/>
      <c r="AA28" s="351"/>
      <c r="AB28" s="351"/>
      <c r="AC28" s="351"/>
      <c r="AD28" s="821"/>
    </row>
    <row r="29" spans="1:30" s="8" customFormat="1" ht="33" customHeight="1" thickBot="1">
      <c r="A29" s="100" t="s">
        <v>12</v>
      </c>
      <c r="B29" s="1121" t="s">
        <v>102</v>
      </c>
      <c r="C29" s="1121"/>
      <c r="D29" s="1121"/>
      <c r="E29" s="347">
        <f aca="true" t="shared" si="9" ref="E29:L29">E5+E16+E24+E28</f>
        <v>658535024</v>
      </c>
      <c r="F29" s="284">
        <f t="shared" si="9"/>
        <v>658535024</v>
      </c>
      <c r="G29" s="284">
        <f t="shared" si="9"/>
        <v>664029089</v>
      </c>
      <c r="H29" s="284">
        <f t="shared" si="9"/>
        <v>841359711</v>
      </c>
      <c r="I29" s="284">
        <f>I5+I16+I24+I28</f>
        <v>851950443</v>
      </c>
      <c r="J29" s="284">
        <f>J5+J16+J24+J28</f>
        <v>879218341</v>
      </c>
      <c r="K29" s="347">
        <f t="shared" si="9"/>
        <v>637589542</v>
      </c>
      <c r="L29" s="284">
        <f t="shared" si="9"/>
        <v>635599041</v>
      </c>
      <c r="M29" s="284">
        <f>M5+M16+M24+M28</f>
        <v>641248365</v>
      </c>
      <c r="N29" s="284">
        <f>N5+N16+N24+N28</f>
        <v>818578986</v>
      </c>
      <c r="O29" s="284">
        <f>O5+O16+O24+O28</f>
        <v>829099717</v>
      </c>
      <c r="P29" s="284">
        <f>P5+P16+P24+P28</f>
        <v>859067710</v>
      </c>
      <c r="Q29" s="742" t="e">
        <f>#REF!/N29</f>
        <v>#REF!</v>
      </c>
      <c r="R29" s="347">
        <f aca="true" t="shared" si="10" ref="R29:AD29">R5+R16+R24+R28</f>
        <v>20945482</v>
      </c>
      <c r="S29" s="284">
        <f t="shared" si="10"/>
        <v>22935983</v>
      </c>
      <c r="T29" s="284">
        <f>T5+T16+T24+T28</f>
        <v>22780724</v>
      </c>
      <c r="U29" s="284">
        <f t="shared" si="10"/>
        <v>22780725</v>
      </c>
      <c r="V29" s="284">
        <f t="shared" si="10"/>
        <v>22850726</v>
      </c>
      <c r="W29" s="284">
        <f>W5+W16+W24+W28</f>
        <v>20150631</v>
      </c>
      <c r="X29" s="347">
        <f t="shared" si="10"/>
        <v>5610894</v>
      </c>
      <c r="Y29" s="284">
        <f t="shared" si="10"/>
        <v>5610894</v>
      </c>
      <c r="Z29" s="284">
        <f t="shared" si="10"/>
        <v>5610894</v>
      </c>
      <c r="AA29" s="284">
        <f t="shared" si="10"/>
        <v>5610894</v>
      </c>
      <c r="AB29" s="284">
        <f t="shared" si="10"/>
        <v>5610894</v>
      </c>
      <c r="AC29" s="284">
        <f t="shared" si="10"/>
        <v>5610894</v>
      </c>
      <c r="AD29" s="818">
        <f t="shared" si="10"/>
        <v>0</v>
      </c>
    </row>
    <row r="30" spans="1:30" s="8" customFormat="1" ht="33" customHeight="1" thickBot="1">
      <c r="A30" s="78" t="s">
        <v>13</v>
      </c>
      <c r="B30" s="1168" t="s">
        <v>211</v>
      </c>
      <c r="C30" s="1168"/>
      <c r="D30" s="1168"/>
      <c r="E30" s="352">
        <f>SUM(E31:E33)</f>
        <v>40646159</v>
      </c>
      <c r="F30" s="103">
        <f aca="true" t="shared" si="11" ref="F30:L30">SUM(F31:F33)</f>
        <v>40646159</v>
      </c>
      <c r="G30" s="352">
        <f t="shared" si="11"/>
        <v>40646159</v>
      </c>
      <c r="H30" s="352">
        <f>SUM(H31:H33)</f>
        <v>40646159</v>
      </c>
      <c r="I30" s="352">
        <f>SUM(I31:I33)</f>
        <v>40646159</v>
      </c>
      <c r="J30" s="352">
        <f>SUM(J31:J33)</f>
        <v>40646159</v>
      </c>
      <c r="K30" s="352">
        <f t="shared" si="11"/>
        <v>40646159</v>
      </c>
      <c r="L30" s="103">
        <f t="shared" si="11"/>
        <v>40646159</v>
      </c>
      <c r="M30" s="103">
        <f>SUM(M31:M33)</f>
        <v>40646159</v>
      </c>
      <c r="N30" s="103">
        <f>SUM(N31:N33)</f>
        <v>40646159</v>
      </c>
      <c r="O30" s="103">
        <f>SUM(O31:O33)</f>
        <v>40646159</v>
      </c>
      <c r="P30" s="103">
        <f>SUM(P31:P33)</f>
        <v>40646159</v>
      </c>
      <c r="Q30" s="742" t="e">
        <f>#REF!/N30</f>
        <v>#REF!</v>
      </c>
      <c r="R30" s="352"/>
      <c r="S30" s="103"/>
      <c r="T30" s="103"/>
      <c r="U30" s="103"/>
      <c r="V30" s="103"/>
      <c r="W30" s="103"/>
      <c r="X30" s="352"/>
      <c r="Y30" s="103"/>
      <c r="Z30" s="103"/>
      <c r="AA30" s="103"/>
      <c r="AB30" s="103"/>
      <c r="AC30" s="103"/>
      <c r="AD30" s="822"/>
    </row>
    <row r="31" spans="1:30" s="5" customFormat="1" ht="33" customHeight="1">
      <c r="A31" s="122"/>
      <c r="B31" s="104" t="s">
        <v>46</v>
      </c>
      <c r="C31" s="1122" t="s">
        <v>285</v>
      </c>
      <c r="D31" s="1122"/>
      <c r="E31" s="353">
        <f>'4.sz.m.ÖNK kiadás'!E33</f>
        <v>3023740</v>
      </c>
      <c r="F31" s="121">
        <f>'4.sz.m.ÖNK kiadás'!F33</f>
        <v>3023740</v>
      </c>
      <c r="G31" s="121">
        <f>'4.sz.m.ÖNK kiadás'!G33</f>
        <v>3023740</v>
      </c>
      <c r="H31" s="286">
        <f>'4.sz.m.ÖNK kiadás'!H33</f>
        <v>3023740</v>
      </c>
      <c r="I31" s="286">
        <f>'4.sz.m.ÖNK kiadás'!I33</f>
        <v>3023740</v>
      </c>
      <c r="J31" s="286">
        <f>'4.sz.m.ÖNK kiadás'!J33</f>
        <v>3023740</v>
      </c>
      <c r="K31" s="353">
        <f>'4.sz.m.ÖNK kiadás'!L33</f>
        <v>3023740</v>
      </c>
      <c r="L31" s="121">
        <f>'4.sz.m.ÖNK kiadás'!M33</f>
        <v>3023740</v>
      </c>
      <c r="M31" s="121">
        <f>'4.sz.m.ÖNK kiadás'!N33</f>
        <v>3023740</v>
      </c>
      <c r="N31" s="286">
        <f>'4.sz.m.ÖNK kiadás'!O33</f>
        <v>3023740</v>
      </c>
      <c r="O31" s="286">
        <f>'4.sz.m.ÖNK kiadás'!P33</f>
        <v>3023740</v>
      </c>
      <c r="P31" s="121">
        <f>J31</f>
        <v>3023740</v>
      </c>
      <c r="Q31" s="748"/>
      <c r="R31" s="348">
        <v>0</v>
      </c>
      <c r="S31" s="286"/>
      <c r="T31" s="286"/>
      <c r="U31" s="286"/>
      <c r="V31" s="286"/>
      <c r="W31" s="286"/>
      <c r="X31" s="348">
        <v>0</v>
      </c>
      <c r="Y31" s="286"/>
      <c r="Z31" s="286"/>
      <c r="AA31" s="286"/>
      <c r="AB31" s="286"/>
      <c r="AC31" s="286"/>
      <c r="AD31" s="819"/>
    </row>
    <row r="32" spans="1:30" s="5" customFormat="1" ht="33" customHeight="1">
      <c r="A32" s="118"/>
      <c r="B32" s="105" t="s">
        <v>328</v>
      </c>
      <c r="C32" s="1167" t="s">
        <v>480</v>
      </c>
      <c r="D32" s="1167"/>
      <c r="E32" s="394">
        <f>'4.sz.m.ÖNK kiadás'!E34</f>
        <v>29500000</v>
      </c>
      <c r="F32" s="395">
        <f>'4.sz.m.ÖNK kiadás'!F34</f>
        <v>29500000</v>
      </c>
      <c r="G32" s="121">
        <f>'4.sz.m.ÖNK kiadás'!G34</f>
        <v>29500000</v>
      </c>
      <c r="H32" s="121">
        <f>'4.sz.m.ÖNK kiadás'!H34</f>
        <v>29500000</v>
      </c>
      <c r="I32" s="121">
        <f>'4.sz.m.ÖNK kiadás'!I34</f>
        <v>29500000</v>
      </c>
      <c r="J32" s="121">
        <f>'4.sz.m.ÖNK kiadás'!J34</f>
        <v>29500000</v>
      </c>
      <c r="K32" s="394">
        <f>'4.sz.m.ÖNK kiadás'!L34</f>
        <v>29500000</v>
      </c>
      <c r="L32" s="395">
        <f>'4.sz.m.ÖNK kiadás'!M34</f>
        <v>29500000</v>
      </c>
      <c r="M32" s="395">
        <f>'4.sz.m.ÖNK kiadás'!N34</f>
        <v>29500000</v>
      </c>
      <c r="N32" s="121">
        <f>'4.sz.m.ÖNK kiadás'!O34</f>
        <v>29500000</v>
      </c>
      <c r="O32" s="121">
        <f>'4.sz.m.ÖNK kiadás'!P34</f>
        <v>29500000</v>
      </c>
      <c r="P32" s="121">
        <f>J32</f>
        <v>29500000</v>
      </c>
      <c r="Q32" s="751"/>
      <c r="R32" s="353">
        <v>0</v>
      </c>
      <c r="S32" s="121"/>
      <c r="T32" s="121"/>
      <c r="U32" s="121"/>
      <c r="V32" s="121"/>
      <c r="W32" s="121"/>
      <c r="X32" s="353">
        <v>0</v>
      </c>
      <c r="Y32" s="121"/>
      <c r="Z32" s="121"/>
      <c r="AA32" s="121"/>
      <c r="AB32" s="121"/>
      <c r="AC32" s="121"/>
      <c r="AD32" s="823"/>
    </row>
    <row r="33" spans="1:30" s="5" customFormat="1" ht="33" customHeight="1" thickBot="1">
      <c r="A33" s="118"/>
      <c r="B33" s="105" t="s">
        <v>439</v>
      </c>
      <c r="C33" s="1171" t="s">
        <v>438</v>
      </c>
      <c r="D33" s="1171"/>
      <c r="E33" s="353">
        <f>'4.sz.m.ÖNK kiadás'!E36</f>
        <v>8122419</v>
      </c>
      <c r="F33" s="121">
        <f>'4.sz.m.ÖNK kiadás'!F36</f>
        <v>8122419</v>
      </c>
      <c r="G33" s="121">
        <f>'4.sz.m.ÖNK kiadás'!G36</f>
        <v>8122419</v>
      </c>
      <c r="H33" s="121">
        <f>'4.sz.m.ÖNK kiadás'!H36</f>
        <v>8122419</v>
      </c>
      <c r="I33" s="121">
        <f>'4.sz.m.ÖNK kiadás'!I36</f>
        <v>8122419</v>
      </c>
      <c r="J33" s="121">
        <f>'4.sz.m.ÖNK kiadás'!J36</f>
        <v>8122419</v>
      </c>
      <c r="K33" s="353">
        <f>'4.sz.m.ÖNK kiadás'!L36</f>
        <v>8122419</v>
      </c>
      <c r="L33" s="121">
        <f>'4.sz.m.ÖNK kiadás'!M36</f>
        <v>8122419</v>
      </c>
      <c r="M33" s="121">
        <f>'4.sz.m.ÖNK kiadás'!N36</f>
        <v>8122419</v>
      </c>
      <c r="N33" s="121">
        <f>'4.sz.m.ÖNK kiadás'!O36</f>
        <v>8122419</v>
      </c>
      <c r="O33" s="121">
        <f>'4.sz.m.ÖNK kiadás'!P36</f>
        <v>8122419</v>
      </c>
      <c r="P33" s="121">
        <f>J33</f>
        <v>8122419</v>
      </c>
      <c r="Q33" s="748" t="e">
        <f>#REF!/N33</f>
        <v>#REF!</v>
      </c>
      <c r="R33" s="353">
        <v>0</v>
      </c>
      <c r="S33" s="121"/>
      <c r="T33" s="121"/>
      <c r="U33" s="121"/>
      <c r="V33" s="121"/>
      <c r="W33" s="121"/>
      <c r="X33" s="353">
        <v>0</v>
      </c>
      <c r="Y33" s="121"/>
      <c r="Z33" s="121"/>
      <c r="AA33" s="121"/>
      <c r="AB33" s="121"/>
      <c r="AC33" s="121"/>
      <c r="AD33" s="823"/>
    </row>
    <row r="34" spans="1:30" s="5" customFormat="1" ht="33" customHeight="1" thickBot="1">
      <c r="A34" s="368" t="s">
        <v>14</v>
      </c>
      <c r="B34" s="1172" t="s">
        <v>239</v>
      </c>
      <c r="C34" s="1172"/>
      <c r="D34" s="1172"/>
      <c r="E34" s="369">
        <f aca="true" t="shared" si="12" ref="E34:P34">E29+E30</f>
        <v>699181183</v>
      </c>
      <c r="F34" s="370">
        <f t="shared" si="12"/>
        <v>699181183</v>
      </c>
      <c r="G34" s="370">
        <f t="shared" si="12"/>
        <v>704675248</v>
      </c>
      <c r="H34" s="370">
        <f t="shared" si="12"/>
        <v>882005870</v>
      </c>
      <c r="I34" s="370">
        <f t="shared" si="12"/>
        <v>892596602</v>
      </c>
      <c r="J34" s="370">
        <f t="shared" si="12"/>
        <v>919864500</v>
      </c>
      <c r="K34" s="369">
        <f t="shared" si="12"/>
        <v>678235701</v>
      </c>
      <c r="L34" s="370">
        <f t="shared" si="12"/>
        <v>676245200</v>
      </c>
      <c r="M34" s="370">
        <f t="shared" si="12"/>
        <v>681894524</v>
      </c>
      <c r="N34" s="370">
        <f t="shared" si="12"/>
        <v>859225145</v>
      </c>
      <c r="O34" s="370">
        <f t="shared" si="12"/>
        <v>869745876</v>
      </c>
      <c r="P34" s="370">
        <f t="shared" si="12"/>
        <v>899713869</v>
      </c>
      <c r="Q34" s="752" t="e">
        <f>#REF!/N34</f>
        <v>#REF!</v>
      </c>
      <c r="R34" s="369">
        <f aca="true" t="shared" si="13" ref="R34:Z34">R29+R30</f>
        <v>20945482</v>
      </c>
      <c r="S34" s="370">
        <f>S29+S30</f>
        <v>22935983</v>
      </c>
      <c r="T34" s="370">
        <f>T29+T30</f>
        <v>22780724</v>
      </c>
      <c r="U34" s="370">
        <f>U29+U30</f>
        <v>22780725</v>
      </c>
      <c r="V34" s="370">
        <f>V29+V30</f>
        <v>22850726</v>
      </c>
      <c r="W34" s="370">
        <f>W29+W30</f>
        <v>20150631</v>
      </c>
      <c r="X34" s="369">
        <f t="shared" si="13"/>
        <v>5610894</v>
      </c>
      <c r="Y34" s="370">
        <f t="shared" si="13"/>
        <v>5610894</v>
      </c>
      <c r="Z34" s="370">
        <f t="shared" si="13"/>
        <v>5610894</v>
      </c>
      <c r="AA34" s="370">
        <f>AA29+AA30</f>
        <v>5610894</v>
      </c>
      <c r="AB34" s="370">
        <f>AB29+AB30</f>
        <v>5610894</v>
      </c>
      <c r="AC34" s="370">
        <f>AC29+AC30</f>
        <v>5610894</v>
      </c>
      <c r="AD34" s="824">
        <f>AD29+AD30</f>
        <v>0</v>
      </c>
    </row>
    <row r="35" spans="1:30" s="5" customFormat="1" ht="33" customHeight="1" hidden="1" thickBot="1">
      <c r="A35" s="1169" t="s">
        <v>240</v>
      </c>
      <c r="B35" s="1170"/>
      <c r="C35" s="1170"/>
      <c r="D35" s="1170"/>
      <c r="E35" s="435"/>
      <c r="F35" s="371"/>
      <c r="G35" s="371"/>
      <c r="H35" s="371"/>
      <c r="I35" s="371"/>
      <c r="J35" s="371"/>
      <c r="K35" s="435"/>
      <c r="L35" s="371"/>
      <c r="M35" s="371"/>
      <c r="N35" s="371"/>
      <c r="O35" s="371"/>
      <c r="P35" s="371"/>
      <c r="Q35" s="751"/>
      <c r="R35" s="435"/>
      <c r="S35" s="371"/>
      <c r="T35" s="371"/>
      <c r="U35" s="371"/>
      <c r="V35" s="371"/>
      <c r="W35" s="371"/>
      <c r="X35" s="435"/>
      <c r="Y35" s="371"/>
      <c r="Z35" s="371"/>
      <c r="AA35" s="371"/>
      <c r="AB35" s="371"/>
      <c r="AC35" s="371"/>
      <c r="AD35" s="823"/>
    </row>
    <row r="36" spans="1:30" s="5" customFormat="1" ht="33" customHeight="1" thickBot="1">
      <c r="A36" s="1120" t="s">
        <v>104</v>
      </c>
      <c r="B36" s="1121"/>
      <c r="C36" s="1121"/>
      <c r="D36" s="1121"/>
      <c r="E36" s="349">
        <f aca="true" t="shared" si="14" ref="E36:L36">E34+E35</f>
        <v>699181183</v>
      </c>
      <c r="F36" s="64">
        <f t="shared" si="14"/>
        <v>699181183</v>
      </c>
      <c r="G36" s="64">
        <f t="shared" si="14"/>
        <v>704675248</v>
      </c>
      <c r="H36" s="64">
        <f t="shared" si="14"/>
        <v>882005870</v>
      </c>
      <c r="I36" s="64">
        <f>I34+I35</f>
        <v>892596602</v>
      </c>
      <c r="J36" s="64">
        <f>J34+J35</f>
        <v>919864500</v>
      </c>
      <c r="K36" s="349">
        <f t="shared" si="14"/>
        <v>678235701</v>
      </c>
      <c r="L36" s="64">
        <f t="shared" si="14"/>
        <v>676245200</v>
      </c>
      <c r="M36" s="64">
        <f>M34+M35</f>
        <v>681894524</v>
      </c>
      <c r="N36" s="64">
        <f>N34+N35</f>
        <v>859225145</v>
      </c>
      <c r="O36" s="64">
        <f>O34+O35</f>
        <v>869745876</v>
      </c>
      <c r="P36" s="64">
        <f>P34+P35</f>
        <v>899713869</v>
      </c>
      <c r="Q36" s="746" t="e">
        <f>#REF!/N36</f>
        <v>#REF!</v>
      </c>
      <c r="R36" s="349">
        <f aca="true" t="shared" si="15" ref="R36:AD36">R34+R35</f>
        <v>20945482</v>
      </c>
      <c r="S36" s="64">
        <f t="shared" si="15"/>
        <v>22935983</v>
      </c>
      <c r="T36" s="64">
        <f>T34+T35</f>
        <v>22780724</v>
      </c>
      <c r="U36" s="64">
        <f t="shared" si="15"/>
        <v>22780725</v>
      </c>
      <c r="V36" s="64">
        <f t="shared" si="15"/>
        <v>22850726</v>
      </c>
      <c r="W36" s="64">
        <f>W34+W35</f>
        <v>20150631</v>
      </c>
      <c r="X36" s="349">
        <f t="shared" si="15"/>
        <v>5610894</v>
      </c>
      <c r="Y36" s="64">
        <f t="shared" si="15"/>
        <v>5610894</v>
      </c>
      <c r="Z36" s="64">
        <f t="shared" si="15"/>
        <v>5610894</v>
      </c>
      <c r="AA36" s="64">
        <f t="shared" si="15"/>
        <v>5610894</v>
      </c>
      <c r="AB36" s="64">
        <f t="shared" si="15"/>
        <v>5610894</v>
      </c>
      <c r="AC36" s="64">
        <f t="shared" si="15"/>
        <v>5610894</v>
      </c>
      <c r="AD36" s="820">
        <f t="shared" si="15"/>
        <v>0</v>
      </c>
    </row>
    <row r="37" spans="1:29" s="5" customFormat="1" ht="19.5" customHeight="1">
      <c r="A37" s="57"/>
      <c r="B37" s="107"/>
      <c r="C37" s="57"/>
      <c r="D37" s="57"/>
      <c r="E37" s="956" t="str">
        <f>IF(K36+R36=E36," ","HIBA-nincs egyenlőség")</f>
        <v> </v>
      </c>
      <c r="F37" s="956" t="str">
        <f>IF(L36+S36=F36," ","HIBA-nincs egyenlőség")</f>
        <v> </v>
      </c>
      <c r="G37" s="956" t="str">
        <f>IF(M36+T36=G36," ","HIBA-nincs egyenlőség")</f>
        <v> </v>
      </c>
      <c r="H37" s="956" t="str">
        <f>IF(N36+U36=H36," ","HIBA-nincs egyenlőség")</f>
        <v> </v>
      </c>
      <c r="I37" s="956"/>
      <c r="J37" s="956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437"/>
      <c r="Y37" s="437"/>
      <c r="Z37" s="437"/>
      <c r="AA37" s="437"/>
      <c r="AB37" s="437"/>
      <c r="AC37" s="437"/>
    </row>
    <row r="38" spans="1:29" s="5" customFormat="1" ht="19.5" customHeight="1">
      <c r="A38" s="57"/>
      <c r="B38" s="107"/>
      <c r="C38" s="57"/>
      <c r="D38" s="57"/>
      <c r="E38" s="6"/>
      <c r="F38" s="6"/>
      <c r="G38" s="6"/>
      <c r="H38" s="6"/>
      <c r="I38" s="6"/>
      <c r="J38" s="6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436"/>
      <c r="Y38" s="436"/>
      <c r="Z38" s="436"/>
      <c r="AA38" s="436"/>
      <c r="AB38" s="436"/>
      <c r="AC38" s="436"/>
    </row>
    <row r="39" spans="1:29" s="5" customFormat="1" ht="19.5" customHeight="1">
      <c r="A39" s="57"/>
      <c r="B39" s="107"/>
      <c r="C39" s="1157" t="s">
        <v>53</v>
      </c>
      <c r="D39" s="1157"/>
      <c r="E39" s="1157"/>
      <c r="F39" s="1157"/>
      <c r="G39" s="1157"/>
      <c r="H39" s="1157"/>
      <c r="I39" s="1157"/>
      <c r="J39" s="1157"/>
      <c r="K39" s="1157"/>
      <c r="L39" s="1157"/>
      <c r="M39" s="1157"/>
      <c r="N39" s="1157"/>
      <c r="O39" s="1157"/>
      <c r="P39" s="1157"/>
      <c r="Q39" s="1157"/>
      <c r="R39" s="1157"/>
      <c r="S39" s="294"/>
      <c r="T39" s="294"/>
      <c r="U39" s="294"/>
      <c r="V39" s="294"/>
      <c r="W39" s="294"/>
      <c r="X39" s="438"/>
      <c r="Y39" s="438"/>
      <c r="Z39" s="438"/>
      <c r="AA39" s="438"/>
      <c r="AB39" s="438"/>
      <c r="AC39" s="439"/>
    </row>
    <row r="40" spans="1:29" s="5" customFormat="1" ht="19.5" customHeight="1" thickBot="1">
      <c r="A40" s="250" t="s">
        <v>54</v>
      </c>
      <c r="B40" s="250"/>
      <c r="F40" s="228"/>
      <c r="G40" s="228"/>
      <c r="H40" s="228"/>
      <c r="I40" s="228"/>
      <c r="J40" s="228"/>
      <c r="K40" s="229"/>
      <c r="L40" s="229"/>
      <c r="M40" s="229"/>
      <c r="N40" s="229"/>
      <c r="O40" s="229"/>
      <c r="P40" s="229"/>
      <c r="Q40" s="229"/>
      <c r="R40" s="230">
        <v>0</v>
      </c>
      <c r="S40" s="230"/>
      <c r="T40" s="230"/>
      <c r="U40" s="230"/>
      <c r="V40" s="230"/>
      <c r="W40" s="230"/>
      <c r="X40" s="440"/>
      <c r="Y40" s="440"/>
      <c r="Z40" s="440"/>
      <c r="AA40" s="440"/>
      <c r="AB40" s="440"/>
      <c r="AC40" s="441"/>
    </row>
    <row r="41" spans="1:30" ht="52.5" customHeight="1" thickBot="1">
      <c r="A41" s="231">
        <v>1</v>
      </c>
      <c r="B41" s="1136" t="s">
        <v>154</v>
      </c>
      <c r="C41" s="1137"/>
      <c r="D41" s="1138"/>
      <c r="E41" s="249">
        <f>'1.sz.m-önk.össze.bev'!E57-'1 .sz.m.önk.össz.kiad.'!E29</f>
        <v>-105893701</v>
      </c>
      <c r="F41" s="249">
        <f>'1.sz.m-önk.össze.bev'!F57-'1 .sz.m.önk.össz.kiad.'!F29</f>
        <v>-105828061</v>
      </c>
      <c r="G41" s="249">
        <f>'1.sz.m-önk.össze.bev'!G57-'1 .sz.m.önk.össz.kiad.'!G29</f>
        <v>-105828061</v>
      </c>
      <c r="H41" s="249">
        <f>'1.sz.m-önk.össze.bev'!H57-'1 .sz.m.önk.össz.kiad.'!H29</f>
        <v>-105828061</v>
      </c>
      <c r="I41" s="249">
        <f>'1.sz.m-önk.össze.bev'!I57-'1 .sz.m.önk.össz.kiad.'!I29</f>
        <v>-105828061</v>
      </c>
      <c r="J41" s="249">
        <f>'1.sz.m-önk.össze.bev'!J57-'1 .sz.m.önk.össz.kiad.'!J29</f>
        <v>-115592441</v>
      </c>
      <c r="K41" s="249">
        <f>'1.sz.m-önk.össze.bev'!K57-'1 .sz.m.önk.össz.kiad.'!K29</f>
        <v>-105893701</v>
      </c>
      <c r="L41" s="249">
        <f>'1.sz.m-önk.össze.bev'!L57-'1 .sz.m.önk.össz.kiad.'!L29</f>
        <v>-105828063</v>
      </c>
      <c r="M41" s="249">
        <f>'1.sz.m-önk.össze.bev'!M57-'1 .sz.m.önk.össz.kiad.'!M29</f>
        <v>-105936065</v>
      </c>
      <c r="N41" s="249">
        <f>'1.sz.m-önk.össze.bev'!N57-'1 .sz.m.önk.össz.kiad.'!N29</f>
        <v>-105936067</v>
      </c>
      <c r="O41" s="249">
        <f>'1.sz.m-önk.össze.bev'!O57-'1 .sz.m.önk.össz.kiad.'!O29</f>
        <v>-105936069</v>
      </c>
      <c r="P41" s="249">
        <f>'1.sz.m-önk.össze.bev'!P57-'1 .sz.m.önk.össz.kiad.'!P29</f>
        <v>-115592441</v>
      </c>
      <c r="Q41" s="249" t="e">
        <f>'1.sz.m-önk.össze.bev'!Q57-'1 .sz.m.önk.össz.kiad.'!Q29</f>
        <v>#REF!</v>
      </c>
      <c r="R41" s="249">
        <f>'1.sz.m-önk.össze.bev'!R57-'1 .sz.m.önk.össz.kiad.'!R29</f>
        <v>0</v>
      </c>
      <c r="S41" s="249">
        <f>'1.sz.m-önk.össze.bev'!S57-'1 .sz.m.önk.össz.kiad.'!S29</f>
        <v>2</v>
      </c>
      <c r="T41" s="249">
        <f>'1.sz.m-önk.össze.bev'!T57-'1 .sz.m.önk.össz.kiad.'!T29</f>
        <v>4</v>
      </c>
      <c r="U41" s="249">
        <f>'1.sz.m-önk.össze.bev'!U57-'1 .sz.m.önk.össz.kiad.'!U29</f>
        <v>6</v>
      </c>
      <c r="V41" s="249">
        <f>'1.sz.m-önk.össze.bev'!V57-'1 .sz.m.önk.össz.kiad.'!V29</f>
        <v>8</v>
      </c>
      <c r="W41" s="249"/>
      <c r="X41" s="249">
        <f>'1.sz.m-önk.össze.bev'!X57-'1 .sz.m.önk.össz.kiad.'!X29</f>
        <v>0</v>
      </c>
      <c r="Y41" s="249">
        <f>'1.sz.m-önk.össze.bev'!Y57-'1 .sz.m.önk.össz.kiad.'!Y29</f>
        <v>0</v>
      </c>
      <c r="Z41" s="249">
        <f>'1.sz.m-önk.össze.bev'!Z57-'1 .sz.m.önk.össz.kiad.'!Z29</f>
        <v>0</v>
      </c>
      <c r="AA41" s="249">
        <f>'1.sz.m-önk.össze.bev'!AA57-'1 .sz.m.önk.össz.kiad.'!AA29</f>
        <v>0</v>
      </c>
      <c r="AB41" s="249">
        <f>'1.sz.m-önk.össze.bev'!AB57-'1 .sz.m.önk.össz.kiad.'!AB29</f>
        <v>0</v>
      </c>
      <c r="AC41" s="249">
        <f>'1.sz.m-önk.össze.bev'!AC57-'1 .sz.m.önk.össz.kiad.'!AC29</f>
        <v>0</v>
      </c>
      <c r="AD41" s="249">
        <f>'1.sz.m-önk.össze.bev'!AD57-'1 .sz.m.önk.össz.kiad.'!AD29</f>
        <v>5610894</v>
      </c>
    </row>
    <row r="42" spans="1:23" ht="15.75">
      <c r="A42" s="109"/>
      <c r="B42" s="56"/>
      <c r="C42" s="228"/>
      <c r="D42" s="228"/>
      <c r="E42" s="232"/>
      <c r="F42" s="232"/>
      <c r="G42" s="232"/>
      <c r="H42" s="232"/>
      <c r="I42" s="232"/>
      <c r="J42" s="232"/>
      <c r="K42" s="229"/>
      <c r="L42" s="229"/>
      <c r="M42" s="229"/>
      <c r="N42" s="229"/>
      <c r="O42" s="229"/>
      <c r="P42" s="229"/>
      <c r="Q42" s="229"/>
      <c r="R42" s="230">
        <v>0</v>
      </c>
      <c r="S42" s="230"/>
      <c r="T42" s="230"/>
      <c r="U42" s="230"/>
      <c r="V42" s="230"/>
      <c r="W42" s="230"/>
    </row>
    <row r="43" spans="1:23" ht="15.75" customHeight="1">
      <c r="A43" s="109"/>
      <c r="B43" s="56"/>
      <c r="C43" s="1135" t="s">
        <v>155</v>
      </c>
      <c r="D43" s="1135"/>
      <c r="E43" s="1135"/>
      <c r="F43" s="1135"/>
      <c r="G43" s="1135"/>
      <c r="H43" s="1135"/>
      <c r="I43" s="1135"/>
      <c r="J43" s="1135"/>
      <c r="K43" s="1135"/>
      <c r="L43" s="1135"/>
      <c r="M43" s="1135"/>
      <c r="N43" s="1135"/>
      <c r="O43" s="1135"/>
      <c r="P43" s="1135"/>
      <c r="Q43" s="1135"/>
      <c r="R43" s="1135"/>
      <c r="S43" s="292"/>
      <c r="T43" s="292"/>
      <c r="U43" s="292"/>
      <c r="V43" s="292"/>
      <c r="W43" s="292"/>
    </row>
    <row r="44" spans="1:23" ht="16.5" thickBot="1">
      <c r="A44" s="250" t="s">
        <v>156</v>
      </c>
      <c r="B44" s="56"/>
      <c r="C44" s="1139"/>
      <c r="D44" s="1139"/>
      <c r="E44" s="228"/>
      <c r="F44" s="228"/>
      <c r="G44" s="228"/>
      <c r="H44" s="228"/>
      <c r="I44" s="228"/>
      <c r="J44" s="228"/>
      <c r="K44" s="229"/>
      <c r="L44" s="229"/>
      <c r="M44" s="229"/>
      <c r="N44" s="229"/>
      <c r="O44" s="229"/>
      <c r="P44" s="229"/>
      <c r="Q44" s="229"/>
      <c r="R44" s="230">
        <v>0</v>
      </c>
      <c r="S44" s="230"/>
      <c r="T44" s="230"/>
      <c r="U44" s="230"/>
      <c r="V44" s="230"/>
      <c r="W44" s="230"/>
    </row>
    <row r="45" spans="1:30" ht="27.75" customHeight="1">
      <c r="A45" s="244" t="s">
        <v>27</v>
      </c>
      <c r="B45" s="1146" t="s">
        <v>462</v>
      </c>
      <c r="C45" s="1147"/>
      <c r="D45" s="1148"/>
      <c r="E45" s="264">
        <f>'1.sz.m-önk.össze.bev'!E61-'2.sz.m.összehasonlító'!B27</f>
        <v>77946078</v>
      </c>
      <c r="F45" s="264">
        <f>'1.sz.m-önk.össze.bev'!F61-'2.sz.m.összehasonlító'!C27</f>
        <v>77372679</v>
      </c>
      <c r="G45" s="264">
        <f>'1.sz.m-önk.össze.bev'!G61-'2.sz.m.összehasonlító'!D27</f>
        <v>55667605</v>
      </c>
      <c r="H45" s="264">
        <f>'1.sz.m-önk.össze.bev'!H61-'2.sz.m.összehasonlító'!E27</f>
        <v>61007482</v>
      </c>
      <c r="I45" s="264">
        <f>'1.sz.m-önk.össze.bev'!I61-'2.sz.m.összehasonlító'!F27</f>
        <v>51374717</v>
      </c>
      <c r="J45" s="264">
        <f>'1.sz.m-önk.össze.bev'!J61-'2.sz.m.összehasonlító'!G27</f>
        <v>41519452</v>
      </c>
      <c r="K45" s="264">
        <f>'1.sz.m-önk.össze.bev'!K61-'2.sz.m.összehasonlító'!B27</f>
        <v>77946078</v>
      </c>
      <c r="L45" s="264">
        <f>'1.sz.m-önk.össze.bev'!L61-'2.sz.m.összehasonlító'!C27</f>
        <v>77372679</v>
      </c>
      <c r="M45" s="264">
        <f>'1.sz.m-önk.össze.bev'!M61-'2.sz.m.összehasonlító'!D27</f>
        <v>55667605</v>
      </c>
      <c r="N45" s="264">
        <f>'1.sz.m-önk.össze.bev'!N61-'2.sz.m.összehasonlító'!E27</f>
        <v>61007482</v>
      </c>
      <c r="O45" s="264">
        <f>'1.sz.m-önk.össze.bev'!O61-'2.sz.m.összehasonlító'!F27</f>
        <v>51374717</v>
      </c>
      <c r="P45" s="264">
        <f>'1.sz.m-önk.össze.bev'!P61-'2.sz.m.összehasonlító'!G27</f>
        <v>41519452</v>
      </c>
      <c r="Q45" s="264">
        <f>'1.sz.m-önk.össze.bev'!Q61</f>
        <v>1</v>
      </c>
      <c r="R45" s="264">
        <f>'1.sz.m-önk.össze.bev'!R61</f>
        <v>0</v>
      </c>
      <c r="S45" s="264">
        <f>'1.sz.m-önk.össze.bev'!S61</f>
        <v>0</v>
      </c>
      <c r="T45" s="264">
        <f>'1.sz.m-önk.össze.bev'!T61</f>
        <v>0</v>
      </c>
      <c r="U45" s="264">
        <f>'1.sz.m-önk.össze.bev'!U61</f>
        <v>0</v>
      </c>
      <c r="V45" s="264">
        <f>'1.sz.m-önk.össze.bev'!V61</f>
        <v>0</v>
      </c>
      <c r="W45" s="264">
        <f>'1.sz.m-önk.össze.bev'!W61</f>
        <v>0</v>
      </c>
      <c r="X45" s="264">
        <f>'1.sz.m-önk.össze.bev'!X61</f>
        <v>0</v>
      </c>
      <c r="Y45" s="264">
        <f>'1.sz.m-önk.össze.bev'!Y61</f>
        <v>0</v>
      </c>
      <c r="Z45" s="264">
        <f>'1.sz.m-önk.össze.bev'!Z61</f>
        <v>0</v>
      </c>
      <c r="AA45" s="264">
        <f>'1.sz.m-önk.össze.bev'!AA61</f>
        <v>0</v>
      </c>
      <c r="AB45" s="264">
        <f>'1.sz.m-önk.össze.bev'!AB61</f>
        <v>0</v>
      </c>
      <c r="AC45" s="264">
        <f>'1.sz.m-önk.össze.bev'!AC61</f>
        <v>0</v>
      </c>
      <c r="AD45" s="264">
        <f>'1.sz.m-önk.össze.bev'!AD61</f>
        <v>0</v>
      </c>
    </row>
    <row r="46" spans="1:30" ht="27.75" customHeight="1">
      <c r="A46" s="245" t="s">
        <v>28</v>
      </c>
      <c r="B46" s="1140" t="s">
        <v>463</v>
      </c>
      <c r="C46" s="1141"/>
      <c r="D46" s="1142"/>
      <c r="E46" s="265">
        <f>'2.sz.m.összehasonlító'!B27</f>
        <v>39823782</v>
      </c>
      <c r="F46" s="265">
        <f>'2.sz.m.összehasonlító'!C27</f>
        <v>40331541</v>
      </c>
      <c r="G46" s="265">
        <f>'2.sz.m.összehasonlító'!D27</f>
        <v>62036615</v>
      </c>
      <c r="H46" s="265">
        <f>'2.sz.m.összehasonlító'!E27</f>
        <v>56696738</v>
      </c>
      <c r="I46" s="265">
        <f>'2.sz.m.összehasonlító'!F27</f>
        <v>66329503</v>
      </c>
      <c r="J46" s="265">
        <f>'2.sz.m.összehasonlító'!G27</f>
        <v>76184768</v>
      </c>
      <c r="K46" s="265">
        <f>'2.sz.m.összehasonlító'!B27</f>
        <v>39823782</v>
      </c>
      <c r="L46" s="265">
        <f>'2.sz.m.összehasonlító'!C27</f>
        <v>40331541</v>
      </c>
      <c r="M46" s="265">
        <f>'2.sz.m.összehasonlító'!D27</f>
        <v>62036615</v>
      </c>
      <c r="N46" s="265">
        <f>'2.sz.m.összehasonlító'!E27</f>
        <v>56696738</v>
      </c>
      <c r="O46" s="265">
        <f>'2.sz.m.összehasonlító'!F27</f>
        <v>66329503</v>
      </c>
      <c r="P46" s="265">
        <f>'2.sz.m.összehasonlító'!G27</f>
        <v>76184768</v>
      </c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</row>
    <row r="47" spans="1:30" ht="27.75" customHeight="1" thickBot="1">
      <c r="A47" s="246" t="s">
        <v>10</v>
      </c>
      <c r="B47" s="1143" t="s">
        <v>464</v>
      </c>
      <c r="C47" s="1144"/>
      <c r="D47" s="1145"/>
      <c r="E47" s="263">
        <f aca="true" t="shared" si="16" ref="E47:L47">E45+E46</f>
        <v>117769860</v>
      </c>
      <c r="F47" s="263">
        <f t="shared" si="16"/>
        <v>117704220</v>
      </c>
      <c r="G47" s="263">
        <f t="shared" si="16"/>
        <v>117704220</v>
      </c>
      <c r="H47" s="263">
        <f>H45+H46</f>
        <v>117704220</v>
      </c>
      <c r="I47" s="263">
        <f>I45+I46</f>
        <v>117704220</v>
      </c>
      <c r="J47" s="263">
        <f>J45+J46</f>
        <v>117704220</v>
      </c>
      <c r="K47" s="263">
        <f t="shared" si="16"/>
        <v>117769860</v>
      </c>
      <c r="L47" s="263">
        <f t="shared" si="16"/>
        <v>117704220</v>
      </c>
      <c r="M47" s="263">
        <f aca="true" t="shared" si="17" ref="M47:AC47">M45+M46</f>
        <v>117704220</v>
      </c>
      <c r="N47" s="263">
        <f t="shared" si="17"/>
        <v>117704220</v>
      </c>
      <c r="O47" s="263">
        <f>O45+O46</f>
        <v>117704220</v>
      </c>
      <c r="P47" s="263">
        <f>P45+P46</f>
        <v>117704220</v>
      </c>
      <c r="Q47" s="263">
        <f t="shared" si="17"/>
        <v>1</v>
      </c>
      <c r="R47" s="263">
        <f t="shared" si="17"/>
        <v>0</v>
      </c>
      <c r="S47" s="263">
        <f t="shared" si="17"/>
        <v>0</v>
      </c>
      <c r="T47" s="263">
        <f t="shared" si="17"/>
        <v>0</v>
      </c>
      <c r="U47" s="263">
        <f t="shared" si="17"/>
        <v>0</v>
      </c>
      <c r="V47" s="263">
        <f t="shared" si="17"/>
        <v>0</v>
      </c>
      <c r="W47" s="263">
        <f t="shared" si="17"/>
        <v>0</v>
      </c>
      <c r="X47" s="263">
        <f t="shared" si="17"/>
        <v>0</v>
      </c>
      <c r="Y47" s="263">
        <f t="shared" si="17"/>
        <v>0</v>
      </c>
      <c r="Z47" s="263">
        <f t="shared" si="17"/>
        <v>0</v>
      </c>
      <c r="AA47" s="263">
        <f t="shared" si="17"/>
        <v>0</v>
      </c>
      <c r="AB47" s="263">
        <f t="shared" si="17"/>
        <v>0</v>
      </c>
      <c r="AC47" s="263">
        <f t="shared" si="17"/>
        <v>0</v>
      </c>
      <c r="AD47" s="263">
        <f>AD45+AD46</f>
        <v>0</v>
      </c>
    </row>
    <row r="48" spans="1:24" ht="15.75">
      <c r="A48" s="109"/>
      <c r="B48" s="56"/>
      <c r="C48" s="233"/>
      <c r="D48" s="234"/>
      <c r="E48" s="235"/>
      <c r="F48" s="235"/>
      <c r="G48" s="235"/>
      <c r="H48" s="235"/>
      <c r="I48" s="235"/>
      <c r="J48" s="235"/>
      <c r="K48" s="229"/>
      <c r="L48" s="229"/>
      <c r="M48" s="229"/>
      <c r="N48" s="229"/>
      <c r="O48" s="229"/>
      <c r="P48" s="229"/>
      <c r="Q48" s="229"/>
      <c r="R48" s="230"/>
      <c r="S48" s="230"/>
      <c r="T48" s="230"/>
      <c r="U48" s="230"/>
      <c r="V48" s="230"/>
      <c r="W48" s="230"/>
      <c r="X48" s="1"/>
    </row>
    <row r="49" spans="1:23" ht="15.75" customHeight="1">
      <c r="A49" s="109"/>
      <c r="B49" s="56"/>
      <c r="C49" s="1135" t="s">
        <v>157</v>
      </c>
      <c r="D49" s="1135"/>
      <c r="E49" s="1135"/>
      <c r="F49" s="1135"/>
      <c r="G49" s="1135"/>
      <c r="H49" s="1135"/>
      <c r="I49" s="1135"/>
      <c r="J49" s="1135"/>
      <c r="K49" s="1135"/>
      <c r="L49" s="1135"/>
      <c r="M49" s="1135"/>
      <c r="N49" s="1135"/>
      <c r="O49" s="1135"/>
      <c r="P49" s="1135"/>
      <c r="Q49" s="1135"/>
      <c r="R49" s="1135"/>
      <c r="S49" s="292"/>
      <c r="T49" s="292"/>
      <c r="U49" s="292"/>
      <c r="V49" s="292"/>
      <c r="W49" s="292"/>
    </row>
    <row r="50" spans="1:23" ht="16.5" thickBot="1">
      <c r="A50" s="250" t="s">
        <v>158</v>
      </c>
      <c r="B50" s="250"/>
      <c r="C50" s="1173"/>
      <c r="D50" s="1173"/>
      <c r="E50" s="228"/>
      <c r="F50" s="228"/>
      <c r="G50" s="228"/>
      <c r="H50" s="228"/>
      <c r="I50" s="228"/>
      <c r="J50" s="228"/>
      <c r="K50" s="229"/>
      <c r="L50" s="229"/>
      <c r="M50" s="229"/>
      <c r="N50" s="229"/>
      <c r="O50" s="229"/>
      <c r="P50" s="229"/>
      <c r="Q50" s="229"/>
      <c r="R50" s="230">
        <v>0</v>
      </c>
      <c r="S50" s="230"/>
      <c r="T50" s="230"/>
      <c r="U50" s="230"/>
      <c r="V50" s="230"/>
      <c r="W50" s="230"/>
    </row>
    <row r="51" spans="1:31" ht="27.75" customHeight="1">
      <c r="A51" s="244" t="s">
        <v>27</v>
      </c>
      <c r="B51" s="1146" t="s">
        <v>465</v>
      </c>
      <c r="C51" s="1147"/>
      <c r="D51" s="1148"/>
      <c r="E51" s="251">
        <v>0</v>
      </c>
      <c r="F51" s="251">
        <v>0</v>
      </c>
      <c r="G51" s="251">
        <v>0</v>
      </c>
      <c r="H51" s="251">
        <v>0</v>
      </c>
      <c r="I51" s="251">
        <v>0</v>
      </c>
      <c r="J51" s="251">
        <v>0</v>
      </c>
      <c r="K51" s="251">
        <v>0</v>
      </c>
      <c r="L51" s="251">
        <v>0</v>
      </c>
      <c r="M51" s="251">
        <v>0</v>
      </c>
      <c r="N51" s="251">
        <v>0</v>
      </c>
      <c r="O51" s="251">
        <v>0</v>
      </c>
      <c r="P51" s="251">
        <v>0</v>
      </c>
      <c r="Q51" s="251">
        <v>0</v>
      </c>
      <c r="R51" s="251">
        <v>0</v>
      </c>
      <c r="S51" s="251">
        <v>0</v>
      </c>
      <c r="T51" s="251">
        <v>0</v>
      </c>
      <c r="U51" s="251">
        <v>0</v>
      </c>
      <c r="V51" s="251">
        <v>0</v>
      </c>
      <c r="W51" s="251">
        <v>0</v>
      </c>
      <c r="X51" s="251">
        <v>0</v>
      </c>
      <c r="Y51" s="251">
        <v>0</v>
      </c>
      <c r="Z51" s="251">
        <v>0</v>
      </c>
      <c r="AA51" s="251">
        <v>0</v>
      </c>
      <c r="AB51" s="251">
        <v>0</v>
      </c>
      <c r="AC51" s="251">
        <v>0</v>
      </c>
      <c r="AD51" s="251">
        <v>0</v>
      </c>
      <c r="AE51" s="251">
        <v>0</v>
      </c>
    </row>
    <row r="52" spans="1:31" ht="27.75" customHeight="1">
      <c r="A52" s="245" t="s">
        <v>28</v>
      </c>
      <c r="B52" s="1140" t="s">
        <v>466</v>
      </c>
      <c r="C52" s="1141"/>
      <c r="D52" s="1142"/>
      <c r="E52" s="252">
        <f>'1.sz.m-önk.össze.bev'!E59</f>
        <v>0</v>
      </c>
      <c r="F52" s="252">
        <f>'1.sz.m-önk.össze.bev'!F59</f>
        <v>0</v>
      </c>
      <c r="G52" s="252">
        <f>'1.sz.m-önk.össze.bev'!G59</f>
        <v>0</v>
      </c>
      <c r="H52" s="252">
        <f>'1.sz.m-önk.össze.bev'!H59</f>
        <v>0</v>
      </c>
      <c r="I52" s="252">
        <f>'1.sz.m-önk.össze.bev'!I59</f>
        <v>0</v>
      </c>
      <c r="J52" s="252"/>
      <c r="K52" s="252">
        <f>'1.sz.m-önk.össze.bev'!K59</f>
        <v>0</v>
      </c>
      <c r="L52" s="252">
        <f>'1.sz.m-önk.össze.bev'!L59</f>
        <v>0</v>
      </c>
      <c r="M52" s="252">
        <f>'1.sz.m-önk.össze.bev'!M59</f>
        <v>0</v>
      </c>
      <c r="N52" s="252">
        <f>'1.sz.m-önk.össze.bev'!N59</f>
        <v>0</v>
      </c>
      <c r="O52" s="252">
        <f>'1.sz.m-önk.össze.bev'!O59</f>
        <v>0</v>
      </c>
      <c r="P52" s="252"/>
      <c r="Q52" s="252" t="e">
        <f>'1.sz.m-önk.össze.bev'!Q59</f>
        <v>#DIV/0!</v>
      </c>
      <c r="R52" s="252">
        <f>'1.sz.m-önk.össze.bev'!R59</f>
        <v>0</v>
      </c>
      <c r="S52" s="252">
        <f>'1.sz.m-önk.össze.bev'!S59</f>
        <v>0</v>
      </c>
      <c r="T52" s="252">
        <f>'1.sz.m-önk.össze.bev'!T59</f>
        <v>0</v>
      </c>
      <c r="U52" s="252">
        <f>'1.sz.m-önk.össze.bev'!U59</f>
        <v>0</v>
      </c>
      <c r="V52" s="252">
        <f>'1.sz.m-önk.össze.bev'!V59</f>
        <v>0</v>
      </c>
      <c r="W52" s="252">
        <f>'1.sz.m-önk.össze.bev'!W59</f>
        <v>0</v>
      </c>
      <c r="X52" s="252">
        <f>'1.sz.m-önk.össze.bev'!X59</f>
        <v>0</v>
      </c>
      <c r="Y52" s="252">
        <f>'1.sz.m-önk.össze.bev'!Y59</f>
        <v>0</v>
      </c>
      <c r="Z52" s="252">
        <f>'1.sz.m-önk.össze.bev'!Z59</f>
        <v>0</v>
      </c>
      <c r="AA52" s="252">
        <f>'1.sz.m-önk.össze.bev'!AA59</f>
        <v>0</v>
      </c>
      <c r="AB52" s="252">
        <f>'1.sz.m-önk.össze.bev'!AB59</f>
        <v>0</v>
      </c>
      <c r="AC52" s="252">
        <f>'1.sz.m-önk.össze.bev'!AC59</f>
        <v>0</v>
      </c>
      <c r="AD52" s="252">
        <f>'1.sz.m-önk.össze.bev'!AD59</f>
        <v>0</v>
      </c>
      <c r="AE52" s="252">
        <f>'1.sz.m-önk.össze.bev'!AE59</f>
        <v>0</v>
      </c>
    </row>
    <row r="53" spans="1:31" ht="27.75" customHeight="1" thickBot="1">
      <c r="A53" s="246" t="s">
        <v>10</v>
      </c>
      <c r="B53" s="1150" t="s">
        <v>467</v>
      </c>
      <c r="C53" s="1151"/>
      <c r="D53" s="1152"/>
      <c r="E53" s="253">
        <f aca="true" t="shared" si="18" ref="E53:J53">E51+E52</f>
        <v>0</v>
      </c>
      <c r="F53" s="253">
        <f t="shared" si="18"/>
        <v>0</v>
      </c>
      <c r="G53" s="253">
        <f t="shared" si="18"/>
        <v>0</v>
      </c>
      <c r="H53" s="253">
        <f t="shared" si="18"/>
        <v>0</v>
      </c>
      <c r="I53" s="253">
        <f t="shared" si="18"/>
        <v>0</v>
      </c>
      <c r="J53" s="253">
        <f t="shared" si="18"/>
        <v>0</v>
      </c>
      <c r="K53" s="253">
        <f aca="true" t="shared" si="19" ref="K53:AE53">K51+K52</f>
        <v>0</v>
      </c>
      <c r="L53" s="253">
        <f t="shared" si="19"/>
        <v>0</v>
      </c>
      <c r="M53" s="253">
        <f t="shared" si="19"/>
        <v>0</v>
      </c>
      <c r="N53" s="253">
        <f t="shared" si="19"/>
        <v>0</v>
      </c>
      <c r="O53" s="253">
        <f t="shared" si="19"/>
        <v>0</v>
      </c>
      <c r="P53" s="253">
        <f>P51+P52</f>
        <v>0</v>
      </c>
      <c r="Q53" s="253" t="e">
        <f t="shared" si="19"/>
        <v>#DIV/0!</v>
      </c>
      <c r="R53" s="253">
        <f t="shared" si="19"/>
        <v>0</v>
      </c>
      <c r="S53" s="253">
        <f t="shared" si="19"/>
        <v>0</v>
      </c>
      <c r="T53" s="253">
        <f t="shared" si="19"/>
        <v>0</v>
      </c>
      <c r="U53" s="253">
        <f t="shared" si="19"/>
        <v>0</v>
      </c>
      <c r="V53" s="253">
        <f t="shared" si="19"/>
        <v>0</v>
      </c>
      <c r="W53" s="253">
        <f t="shared" si="19"/>
        <v>0</v>
      </c>
      <c r="X53" s="253">
        <f t="shared" si="19"/>
        <v>0</v>
      </c>
      <c r="Y53" s="253">
        <f t="shared" si="19"/>
        <v>0</v>
      </c>
      <c r="Z53" s="253">
        <f t="shared" si="19"/>
        <v>0</v>
      </c>
      <c r="AA53" s="253">
        <f t="shared" si="19"/>
        <v>0</v>
      </c>
      <c r="AB53" s="253">
        <f t="shared" si="19"/>
        <v>0</v>
      </c>
      <c r="AC53" s="253">
        <f t="shared" si="19"/>
        <v>0</v>
      </c>
      <c r="AD53" s="253">
        <f t="shared" si="19"/>
        <v>0</v>
      </c>
      <c r="AE53" s="253">
        <f t="shared" si="19"/>
        <v>0</v>
      </c>
    </row>
    <row r="54" spans="1:28" ht="15.75">
      <c r="A54" s="109"/>
      <c r="B54" s="56"/>
      <c r="C54" s="233"/>
      <c r="D54" s="234"/>
      <c r="E54" s="235"/>
      <c r="F54" s="235"/>
      <c r="G54" s="235"/>
      <c r="H54" s="235"/>
      <c r="I54" s="235"/>
      <c r="J54" s="235"/>
      <c r="K54" s="229"/>
      <c r="L54" s="229"/>
      <c r="M54" s="229"/>
      <c r="N54" s="229"/>
      <c r="O54" s="229"/>
      <c r="P54" s="229"/>
      <c r="Q54" s="229"/>
      <c r="R54" s="230"/>
      <c r="S54" s="230"/>
      <c r="T54" s="230"/>
      <c r="U54" s="230"/>
      <c r="V54" s="230"/>
      <c r="W54" s="230"/>
      <c r="AB54" s="66"/>
    </row>
    <row r="55" spans="1:24" ht="15.75" customHeight="1">
      <c r="A55" s="109"/>
      <c r="B55" s="56"/>
      <c r="C55" s="1155" t="s">
        <v>55</v>
      </c>
      <c r="D55" s="1155"/>
      <c r="E55" s="1155"/>
      <c r="F55" s="1155"/>
      <c r="G55" s="1155"/>
      <c r="H55" s="1155"/>
      <c r="I55" s="1155"/>
      <c r="J55" s="1155"/>
      <c r="K55" s="1155"/>
      <c r="L55" s="1155"/>
      <c r="M55" s="1155"/>
      <c r="N55" s="1155"/>
      <c r="O55" s="1155"/>
      <c r="P55" s="1155"/>
      <c r="Q55" s="1155"/>
      <c r="R55" s="1135"/>
      <c r="S55" s="292"/>
      <c r="T55" s="292"/>
      <c r="U55" s="292"/>
      <c r="V55" s="292"/>
      <c r="W55" s="292"/>
      <c r="X55" s="125"/>
    </row>
    <row r="56" spans="1:23" ht="15.75">
      <c r="A56" s="109"/>
      <c r="B56" s="56"/>
      <c r="C56" s="236"/>
      <c r="D56" s="236"/>
      <c r="E56" s="236"/>
      <c r="F56" s="236"/>
      <c r="G56" s="236"/>
      <c r="H56" s="236"/>
      <c r="I56" s="236"/>
      <c r="J56" s="236"/>
      <c r="K56" s="237"/>
      <c r="L56" s="237"/>
      <c r="M56" s="237"/>
      <c r="N56" s="237"/>
      <c r="O56" s="237"/>
      <c r="P56" s="237"/>
      <c r="Q56" s="237"/>
      <c r="R56" s="238"/>
      <c r="S56" s="238"/>
      <c r="T56" s="238"/>
      <c r="U56" s="238"/>
      <c r="V56" s="238"/>
      <c r="W56" s="238"/>
    </row>
    <row r="57" spans="1:23" ht="16.5" thickBot="1">
      <c r="A57" s="250" t="s">
        <v>195</v>
      </c>
      <c r="C57" s="1156"/>
      <c r="D57" s="1156"/>
      <c r="E57" s="236"/>
      <c r="F57" s="236"/>
      <c r="G57" s="236"/>
      <c r="H57" s="236"/>
      <c r="I57" s="236"/>
      <c r="J57" s="236"/>
      <c r="K57" s="237"/>
      <c r="L57" s="237"/>
      <c r="M57" s="237"/>
      <c r="N57" s="237"/>
      <c r="O57" s="237"/>
      <c r="P57" s="237"/>
      <c r="Q57" s="237"/>
      <c r="R57" s="238"/>
      <c r="S57" s="238"/>
      <c r="T57" s="238"/>
      <c r="U57" s="238"/>
      <c r="V57" s="238"/>
      <c r="W57" s="238"/>
    </row>
    <row r="58" spans="1:30" ht="27" customHeight="1">
      <c r="A58" s="257" t="s">
        <v>27</v>
      </c>
      <c r="B58" s="1153" t="s">
        <v>159</v>
      </c>
      <c r="C58" s="1153"/>
      <c r="D58" s="1153"/>
      <c r="E58" s="258">
        <f>E59-E62</f>
        <v>105893701</v>
      </c>
      <c r="F58" s="258">
        <f>F59-F62</f>
        <v>105828061</v>
      </c>
      <c r="G58" s="258">
        <f>G59-G62</f>
        <v>105828061</v>
      </c>
      <c r="H58" s="258">
        <f>H59-H62</f>
        <v>105828061</v>
      </c>
      <c r="I58" s="258">
        <f>I59-I62</f>
        <v>105828061</v>
      </c>
      <c r="J58" s="258">
        <f aca="true" t="shared" si="20" ref="J58:AC58">J59-J62</f>
        <v>115592441</v>
      </c>
      <c r="K58" s="258">
        <f t="shared" si="20"/>
        <v>105893701</v>
      </c>
      <c r="L58" s="258">
        <f t="shared" si="20"/>
        <v>105828061</v>
      </c>
      <c r="M58" s="258">
        <f>M59-M62</f>
        <v>105828061</v>
      </c>
      <c r="N58" s="258">
        <f>N59-N62</f>
        <v>105828061</v>
      </c>
      <c r="O58" s="258">
        <f>O59-O62</f>
        <v>105828061</v>
      </c>
      <c r="P58" s="258">
        <f>P59-P62</f>
        <v>115592441</v>
      </c>
      <c r="Q58" s="258" t="e">
        <f t="shared" si="20"/>
        <v>#REF!</v>
      </c>
      <c r="R58" s="258">
        <f t="shared" si="20"/>
        <v>0</v>
      </c>
      <c r="S58" s="258">
        <f t="shared" si="20"/>
        <v>0</v>
      </c>
      <c r="T58" s="258">
        <f t="shared" si="20"/>
        <v>0</v>
      </c>
      <c r="U58" s="258">
        <f t="shared" si="20"/>
        <v>0</v>
      </c>
      <c r="V58" s="258">
        <f t="shared" si="20"/>
        <v>0</v>
      </c>
      <c r="W58" s="258">
        <f t="shared" si="20"/>
        <v>0</v>
      </c>
      <c r="X58" s="258">
        <f t="shared" si="20"/>
        <v>0</v>
      </c>
      <c r="Y58" s="258">
        <f t="shared" si="20"/>
        <v>0</v>
      </c>
      <c r="Z58" s="258">
        <f t="shared" si="20"/>
        <v>0</v>
      </c>
      <c r="AA58" s="258">
        <f t="shared" si="20"/>
        <v>0</v>
      </c>
      <c r="AB58" s="258">
        <f t="shared" si="20"/>
        <v>0</v>
      </c>
      <c r="AC58" s="258">
        <f t="shared" si="20"/>
        <v>0</v>
      </c>
      <c r="AD58" s="258">
        <f>AD59-AD62</f>
        <v>0</v>
      </c>
    </row>
    <row r="59" spans="1:30" ht="27" customHeight="1">
      <c r="A59" s="254" t="s">
        <v>160</v>
      </c>
      <c r="B59" s="1154" t="s">
        <v>475</v>
      </c>
      <c r="C59" s="1154"/>
      <c r="D59" s="1154"/>
      <c r="E59" s="259">
        <f>'1.sz.m-önk.össze.bev'!E58</f>
        <v>146539860</v>
      </c>
      <c r="F59" s="259">
        <f>'1.sz.m-önk.össze.bev'!F58</f>
        <v>146474220</v>
      </c>
      <c r="G59" s="259">
        <f>'1.sz.m-önk.össze.bev'!G58</f>
        <v>146474220</v>
      </c>
      <c r="H59" s="259">
        <f>'1.sz.m-önk.össze.bev'!H58</f>
        <v>146474220</v>
      </c>
      <c r="I59" s="259">
        <f>'1.sz.m-önk.össze.bev'!I58</f>
        <v>146474220</v>
      </c>
      <c r="J59" s="259">
        <f>'1.sz.m-önk.össze.bev'!J58</f>
        <v>156238600</v>
      </c>
      <c r="K59" s="259">
        <f>'1.sz.m-önk.össze.bev'!K58</f>
        <v>146539860</v>
      </c>
      <c r="L59" s="259">
        <f>'1.sz.m-önk.össze.bev'!L58</f>
        <v>146474220</v>
      </c>
      <c r="M59" s="259">
        <f>'1.sz.m-önk.össze.bev'!M58</f>
        <v>146474220</v>
      </c>
      <c r="N59" s="259">
        <f>'1.sz.m-önk.össze.bev'!N58</f>
        <v>146474220</v>
      </c>
      <c r="O59" s="259">
        <f>'1.sz.m-önk.össze.bev'!O58</f>
        <v>146474220</v>
      </c>
      <c r="P59" s="259">
        <f>'1.sz.m-önk.össze.bev'!P58</f>
        <v>156238600</v>
      </c>
      <c r="Q59" s="259">
        <f>'1.sz.m-önk.össze.bev'!Q58</f>
        <v>1.0666627888511713</v>
      </c>
      <c r="R59" s="259">
        <f>'1.sz.m-önk.össze.bev'!R58</f>
        <v>0</v>
      </c>
      <c r="S59" s="259">
        <f>'1.sz.m-önk.össze.bev'!S58</f>
        <v>0</v>
      </c>
      <c r="T59" s="259">
        <f>'1.sz.m-önk.össze.bev'!T58</f>
        <v>0</v>
      </c>
      <c r="U59" s="259">
        <f>'1.sz.m-önk.össze.bev'!U58</f>
        <v>0</v>
      </c>
      <c r="V59" s="259">
        <f>'1.sz.m-önk.össze.bev'!V58</f>
        <v>0</v>
      </c>
      <c r="W59" s="259">
        <f>'1.sz.m-önk.össze.bev'!W58</f>
        <v>0</v>
      </c>
      <c r="X59" s="259">
        <f>'1.sz.m-önk.össze.bev'!X58</f>
        <v>0</v>
      </c>
      <c r="Y59" s="259">
        <f>'1.sz.m-önk.össze.bev'!Y58</f>
        <v>0</v>
      </c>
      <c r="Z59" s="259">
        <f>'1.sz.m-önk.össze.bev'!Z58</f>
        <v>0</v>
      </c>
      <c r="AA59" s="259">
        <f>'1.sz.m-önk.össze.bev'!AA58</f>
        <v>0</v>
      </c>
      <c r="AB59" s="259">
        <f>'1.sz.m-önk.össze.bev'!AB58</f>
        <v>0</v>
      </c>
      <c r="AC59" s="259">
        <f>'1.sz.m-önk.össze.bev'!AC58</f>
        <v>0</v>
      </c>
      <c r="AD59" s="259">
        <f>'1.sz.m-önk.össze.bev'!AD58</f>
        <v>0</v>
      </c>
    </row>
    <row r="60" spans="1:30" ht="27" customHeight="1">
      <c r="A60" s="254" t="s">
        <v>161</v>
      </c>
      <c r="B60" s="1134" t="s">
        <v>200</v>
      </c>
      <c r="C60" s="1134"/>
      <c r="D60" s="1134"/>
      <c r="E60" s="259">
        <f>'1.sz.m-önk.össze.bev'!E61-'2.sz.m.összehasonlító'!B27+'1.sz.m-önk.össze.bev'!E60</f>
        <v>106716078</v>
      </c>
      <c r="F60" s="259">
        <f>'1.sz.m-önk.össze.bev'!F61-'2.sz.m.összehasonlító'!C27+'1.sz.m-önk.össze.bev'!F60</f>
        <v>106142679</v>
      </c>
      <c r="G60" s="259">
        <f>'1.sz.m-önk.össze.bev'!G61-'2.sz.m.összehasonlító'!D27</f>
        <v>55667605</v>
      </c>
      <c r="H60" s="259">
        <f>'1.sz.m-önk.össze.bev'!H61-'2.sz.m.összehasonlító'!E27</f>
        <v>61007482</v>
      </c>
      <c r="I60" s="259">
        <f>'1.sz.m-önk.össze.bev'!I61-'2.sz.m.összehasonlító'!F27</f>
        <v>51374717</v>
      </c>
      <c r="J60" s="259">
        <f>'1.sz.m-önk.össze.bev'!J61-'2.sz.m.összehasonlító'!G27</f>
        <v>41519452</v>
      </c>
      <c r="K60" s="259">
        <f>'1.sz.m-önk.össze.bev'!E61-'2.sz.m.összehasonlító'!B27+'1.sz.m-önk.össze.bev'!E60</f>
        <v>106716078</v>
      </c>
      <c r="L60" s="259">
        <f>'1.sz.m-önk.össze.bev'!F61-'2.sz.m.összehasonlító'!C27+'1.sz.m-önk.össze.bev'!F60</f>
        <v>106142679</v>
      </c>
      <c r="M60" s="259">
        <f>'1.sz.m-önk.össze.bev'!G61-'2.sz.m.összehasonlító'!D27+'1.sz.m-önk.össze.bev'!G60</f>
        <v>84437605</v>
      </c>
      <c r="N60" s="259">
        <f>'1.sz.m-önk.össze.bev'!H61-'2.sz.m.összehasonlító'!E27+'1.sz.m-önk.össze.bev'!H60</f>
        <v>89777482</v>
      </c>
      <c r="O60" s="259">
        <f>'1.sz.m-önk.össze.bev'!I61-'2.sz.m.összehasonlító'!F27+'1.sz.m-önk.össze.bev'!I60</f>
        <v>80144717</v>
      </c>
      <c r="P60" s="259">
        <f>'1.sz.m-önk.össze.bev'!P61</f>
        <v>117704220</v>
      </c>
      <c r="Q60" s="259">
        <f>'1.sz.m-önk.össze.bev'!Q61</f>
        <v>1</v>
      </c>
      <c r="R60" s="259">
        <f>'1.sz.m-önk.össze.bev'!R61</f>
        <v>0</v>
      </c>
      <c r="S60" s="259">
        <f>'1.sz.m-önk.össze.bev'!S61</f>
        <v>0</v>
      </c>
      <c r="T60" s="259">
        <f>'1.sz.m-önk.össze.bev'!T61</f>
        <v>0</v>
      </c>
      <c r="U60" s="259">
        <f>'1.sz.m-önk.össze.bev'!U61</f>
        <v>0</v>
      </c>
      <c r="V60" s="259">
        <f>'1.sz.m-önk.össze.bev'!V61</f>
        <v>0</v>
      </c>
      <c r="W60" s="259">
        <f>'1.sz.m-önk.össze.bev'!W61</f>
        <v>0</v>
      </c>
      <c r="X60" s="259">
        <f>'1.sz.m-önk.össze.bev'!X61</f>
        <v>0</v>
      </c>
      <c r="Y60" s="259">
        <f>'1.sz.m-önk.össze.bev'!Y61</f>
        <v>0</v>
      </c>
      <c r="Z60" s="259">
        <f>'1.sz.m-önk.össze.bev'!Z61</f>
        <v>0</v>
      </c>
      <c r="AA60" s="259">
        <f>'1.sz.m-önk.össze.bev'!AA61</f>
        <v>0</v>
      </c>
      <c r="AB60" s="259">
        <f>'1.sz.m-önk.össze.bev'!AB61</f>
        <v>0</v>
      </c>
      <c r="AC60" s="259">
        <f>'1.sz.m-önk.össze.bev'!AC61</f>
        <v>0</v>
      </c>
      <c r="AD60" s="259">
        <f>'1.sz.m-önk.össze.bev'!AD61</f>
        <v>0</v>
      </c>
    </row>
    <row r="61" spans="1:30" ht="27" customHeight="1">
      <c r="A61" s="255" t="s">
        <v>162</v>
      </c>
      <c r="B61" s="1134" t="s">
        <v>201</v>
      </c>
      <c r="C61" s="1134"/>
      <c r="D61" s="1134"/>
      <c r="E61" s="259">
        <f>'1.sz.m-önk.össze.bev'!E59+'2.sz.m.összehasonlító'!B27</f>
        <v>39823782</v>
      </c>
      <c r="F61" s="259">
        <f>'1.sz.m-önk.össze.bev'!F59+'2.sz.m.összehasonlító'!C27</f>
        <v>40331541</v>
      </c>
      <c r="G61" s="259">
        <f>'1.sz.m-önk.össze.bev'!G59+'2.sz.m.összehasonlító'!D27</f>
        <v>62036615</v>
      </c>
      <c r="H61" s="259">
        <f>'1.sz.m-önk.össze.bev'!H59+'2.sz.m.összehasonlító'!E27</f>
        <v>56696738</v>
      </c>
      <c r="I61" s="259">
        <f>'1.sz.m-önk.össze.bev'!I59+'2.sz.m.összehasonlító'!F27</f>
        <v>66329503</v>
      </c>
      <c r="J61" s="259">
        <f>'1.sz.m-önk.össze.bev'!J59+'2.sz.m.összehasonlító'!G27</f>
        <v>85949148</v>
      </c>
      <c r="K61" s="259">
        <f>'1.sz.m-önk.össze.bev'!K59+'2.sz.m.összehasonlító'!B27</f>
        <v>39823782</v>
      </c>
      <c r="L61" s="259">
        <f>'1.sz.m-önk.össze.bev'!L59+'2.sz.m.összehasonlító'!C27</f>
        <v>40331541</v>
      </c>
      <c r="M61" s="259">
        <f>'1.sz.m-önk.össze.bev'!M59+'2.sz.m.összehasonlító'!D27</f>
        <v>62036615</v>
      </c>
      <c r="N61" s="259">
        <f>'1.sz.m-önk.össze.bev'!N59+'2.sz.m.összehasonlító'!E27</f>
        <v>56696738</v>
      </c>
      <c r="O61" s="259">
        <f>'1.sz.m-önk.össze.bev'!O59+'2.sz.m.összehasonlító'!F27</f>
        <v>66329503</v>
      </c>
      <c r="P61" s="259">
        <f>'1.sz.m-önk.össze.bev'!P59</f>
        <v>9764380</v>
      </c>
      <c r="Q61" s="259" t="e">
        <f>'1.sz.m-önk.össze.bev'!Q59</f>
        <v>#DIV/0!</v>
      </c>
      <c r="R61" s="259">
        <f>'1.sz.m-önk.össze.bev'!R59</f>
        <v>0</v>
      </c>
      <c r="S61" s="259">
        <f>'1.sz.m-önk.össze.bev'!S59</f>
        <v>0</v>
      </c>
      <c r="T61" s="259">
        <f>'1.sz.m-önk.össze.bev'!T59</f>
        <v>0</v>
      </c>
      <c r="U61" s="259">
        <f>'1.sz.m-önk.össze.bev'!U59</f>
        <v>0</v>
      </c>
      <c r="V61" s="259">
        <f>'1.sz.m-önk.össze.bev'!V59</f>
        <v>0</v>
      </c>
      <c r="W61" s="259">
        <f>'1.sz.m-önk.össze.bev'!W59</f>
        <v>0</v>
      </c>
      <c r="X61" s="259">
        <f>'1.sz.m-önk.össze.bev'!X59</f>
        <v>0</v>
      </c>
      <c r="Y61" s="259">
        <f>'1.sz.m-önk.össze.bev'!Y59</f>
        <v>0</v>
      </c>
      <c r="Z61" s="259">
        <f>'1.sz.m-önk.össze.bev'!Z59</f>
        <v>0</v>
      </c>
      <c r="AA61" s="259">
        <f>'1.sz.m-önk.össze.bev'!AA59</f>
        <v>0</v>
      </c>
      <c r="AB61" s="259">
        <f>'1.sz.m-önk.össze.bev'!AB59</f>
        <v>0</v>
      </c>
      <c r="AC61" s="259">
        <f>'1.sz.m-önk.össze.bev'!AC59</f>
        <v>0</v>
      </c>
      <c r="AD61" s="259">
        <f>'1.sz.m-önk.össze.bev'!AD59</f>
        <v>0</v>
      </c>
    </row>
    <row r="62" spans="1:30" ht="27" customHeight="1">
      <c r="A62" s="256" t="s">
        <v>163</v>
      </c>
      <c r="B62" s="1154" t="s">
        <v>476</v>
      </c>
      <c r="C62" s="1154"/>
      <c r="D62" s="1154"/>
      <c r="E62" s="260">
        <f>E30</f>
        <v>40646159</v>
      </c>
      <c r="F62" s="260">
        <f>F30</f>
        <v>40646159</v>
      </c>
      <c r="G62" s="260">
        <f>G30</f>
        <v>40646159</v>
      </c>
      <c r="H62" s="260">
        <f>H30</f>
        <v>40646159</v>
      </c>
      <c r="I62" s="260">
        <f>I30</f>
        <v>40646159</v>
      </c>
      <c r="J62" s="260">
        <f aca="true" t="shared" si="21" ref="J62:AC62">J30</f>
        <v>40646159</v>
      </c>
      <c r="K62" s="260">
        <f t="shared" si="21"/>
        <v>40646159</v>
      </c>
      <c r="L62" s="260">
        <f t="shared" si="21"/>
        <v>40646159</v>
      </c>
      <c r="M62" s="260">
        <f>M30</f>
        <v>40646159</v>
      </c>
      <c r="N62" s="260">
        <f>N30</f>
        <v>40646159</v>
      </c>
      <c r="O62" s="260">
        <f>O30</f>
        <v>40646159</v>
      </c>
      <c r="P62" s="260">
        <f>P30</f>
        <v>40646159</v>
      </c>
      <c r="Q62" s="260" t="e">
        <f t="shared" si="21"/>
        <v>#REF!</v>
      </c>
      <c r="R62" s="260">
        <f t="shared" si="21"/>
        <v>0</v>
      </c>
      <c r="S62" s="260">
        <f t="shared" si="21"/>
        <v>0</v>
      </c>
      <c r="T62" s="260">
        <f t="shared" si="21"/>
        <v>0</v>
      </c>
      <c r="U62" s="260">
        <f t="shared" si="21"/>
        <v>0</v>
      </c>
      <c r="V62" s="260">
        <f t="shared" si="21"/>
        <v>0</v>
      </c>
      <c r="W62" s="260">
        <f t="shared" si="21"/>
        <v>0</v>
      </c>
      <c r="X62" s="260">
        <f t="shared" si="21"/>
        <v>0</v>
      </c>
      <c r="Y62" s="260">
        <f t="shared" si="21"/>
        <v>0</v>
      </c>
      <c r="Z62" s="260">
        <f t="shared" si="21"/>
        <v>0</v>
      </c>
      <c r="AA62" s="260">
        <f t="shared" si="21"/>
        <v>0</v>
      </c>
      <c r="AB62" s="260">
        <f t="shared" si="21"/>
        <v>0</v>
      </c>
      <c r="AC62" s="260">
        <f t="shared" si="21"/>
        <v>0</v>
      </c>
      <c r="AD62" s="260">
        <f>AD30</f>
        <v>0</v>
      </c>
    </row>
    <row r="63" spans="1:30" ht="27" customHeight="1">
      <c r="A63" s="254" t="s">
        <v>164</v>
      </c>
      <c r="B63" s="1134" t="s">
        <v>202</v>
      </c>
      <c r="C63" s="1134"/>
      <c r="D63" s="1134"/>
      <c r="E63" s="259">
        <f>E33+E32</f>
        <v>37622419</v>
      </c>
      <c r="F63" s="259">
        <f aca="true" t="shared" si="22" ref="F63:K63">F33+F32</f>
        <v>37622419</v>
      </c>
      <c r="G63" s="259">
        <f t="shared" si="22"/>
        <v>37622419</v>
      </c>
      <c r="H63" s="259">
        <f t="shared" si="22"/>
        <v>37622419</v>
      </c>
      <c r="I63" s="259">
        <f>I33+I32</f>
        <v>37622419</v>
      </c>
      <c r="J63" s="259">
        <f t="shared" si="22"/>
        <v>37622419</v>
      </c>
      <c r="K63" s="259">
        <f t="shared" si="22"/>
        <v>37622419</v>
      </c>
      <c r="L63" s="259">
        <f>L62</f>
        <v>40646159</v>
      </c>
      <c r="M63" s="259">
        <f>M62</f>
        <v>40646159</v>
      </c>
      <c r="N63" s="259">
        <f>N62</f>
        <v>40646159</v>
      </c>
      <c r="O63" s="259">
        <f>O62</f>
        <v>40646159</v>
      </c>
      <c r="P63" s="259">
        <f>P62</f>
        <v>40646159</v>
      </c>
      <c r="Q63" s="259">
        <v>0</v>
      </c>
      <c r="R63" s="259">
        <v>0</v>
      </c>
      <c r="S63" s="259">
        <v>0</v>
      </c>
      <c r="T63" s="259">
        <v>0</v>
      </c>
      <c r="U63" s="259">
        <v>0</v>
      </c>
      <c r="V63" s="259">
        <v>0</v>
      </c>
      <c r="W63" s="259">
        <v>0</v>
      </c>
      <c r="X63" s="259">
        <v>0</v>
      </c>
      <c r="Y63" s="259">
        <v>0</v>
      </c>
      <c r="Z63" s="259">
        <v>0</v>
      </c>
      <c r="AA63" s="259">
        <v>0</v>
      </c>
      <c r="AB63" s="259">
        <v>0</v>
      </c>
      <c r="AC63" s="259">
        <v>0</v>
      </c>
      <c r="AD63" s="259">
        <v>0</v>
      </c>
    </row>
    <row r="64" spans="1:30" ht="27" customHeight="1" thickBot="1">
      <c r="A64" s="261" t="s">
        <v>165</v>
      </c>
      <c r="B64" s="1149" t="s">
        <v>203</v>
      </c>
      <c r="C64" s="1149"/>
      <c r="D64" s="1149"/>
      <c r="E64" s="262">
        <f>E31</f>
        <v>3023740</v>
      </c>
      <c r="F64" s="262">
        <f aca="true" t="shared" si="23" ref="F64:P64">F31</f>
        <v>3023740</v>
      </c>
      <c r="G64" s="262">
        <f t="shared" si="23"/>
        <v>3023740</v>
      </c>
      <c r="H64" s="262">
        <f t="shared" si="23"/>
        <v>3023740</v>
      </c>
      <c r="I64" s="262">
        <f>I31</f>
        <v>3023740</v>
      </c>
      <c r="J64" s="262">
        <f t="shared" si="23"/>
        <v>3023740</v>
      </c>
      <c r="K64" s="262">
        <f t="shared" si="23"/>
        <v>3023740</v>
      </c>
      <c r="L64" s="262">
        <f t="shared" si="23"/>
        <v>3023740</v>
      </c>
      <c r="M64" s="262">
        <f t="shared" si="23"/>
        <v>3023740</v>
      </c>
      <c r="N64" s="262">
        <f t="shared" si="23"/>
        <v>3023740</v>
      </c>
      <c r="O64" s="262">
        <f t="shared" si="23"/>
        <v>3023740</v>
      </c>
      <c r="P64" s="262">
        <f t="shared" si="23"/>
        <v>3023740</v>
      </c>
      <c r="Q64" s="262">
        <v>0</v>
      </c>
      <c r="R64" s="262">
        <v>0</v>
      </c>
      <c r="S64" s="262">
        <v>0</v>
      </c>
      <c r="T64" s="262">
        <v>0</v>
      </c>
      <c r="U64" s="262">
        <v>0</v>
      </c>
      <c r="V64" s="262">
        <v>0</v>
      </c>
      <c r="W64" s="262">
        <v>0</v>
      </c>
      <c r="X64" s="262">
        <v>0</v>
      </c>
      <c r="Y64" s="262">
        <v>0</v>
      </c>
      <c r="Z64" s="262">
        <v>0</v>
      </c>
      <c r="AA64" s="262">
        <v>0</v>
      </c>
      <c r="AB64" s="262">
        <v>0</v>
      </c>
      <c r="AC64" s="262">
        <v>0</v>
      </c>
      <c r="AD64" s="262">
        <v>0</v>
      </c>
    </row>
  </sheetData>
  <sheetProtection/>
  <mergeCells count="40"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  <mergeCell ref="C39:R39"/>
    <mergeCell ref="C19:D19"/>
    <mergeCell ref="A1:X1"/>
    <mergeCell ref="A3:D3"/>
    <mergeCell ref="B5:D5"/>
    <mergeCell ref="X3:AD3"/>
    <mergeCell ref="B16:D16"/>
    <mergeCell ref="C26:D26"/>
    <mergeCell ref="C17:D17"/>
    <mergeCell ref="C18:D18"/>
    <mergeCell ref="B64:D64"/>
    <mergeCell ref="B52:D52"/>
    <mergeCell ref="B53:D53"/>
    <mergeCell ref="B58:D58"/>
    <mergeCell ref="B59:D59"/>
    <mergeCell ref="B61:D61"/>
    <mergeCell ref="B60:D60"/>
    <mergeCell ref="C55:R55"/>
    <mergeCell ref="C57:D57"/>
    <mergeCell ref="B62:D62"/>
    <mergeCell ref="B63:D63"/>
    <mergeCell ref="C31:D31"/>
    <mergeCell ref="C49:R49"/>
    <mergeCell ref="A36:D36"/>
    <mergeCell ref="B41:D41"/>
    <mergeCell ref="C44:D44"/>
    <mergeCell ref="B46:D46"/>
    <mergeCell ref="B47:D47"/>
    <mergeCell ref="B45:D45"/>
    <mergeCell ref="C43:R43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landscape" paperSize="9" scale="42" r:id="rId1"/>
  <headerFooter differentOddEven="1" alignWithMargins="0">
    <oddHeader>&amp;C&amp;"Algerian,Normál"&amp;16BELED VÁROS ÖNKORMÁNYZATA
2017. ÉVI KÖLTSÉGVETÉSÉNEK ÖSSZEVONT MÉRLEGE&amp;R&amp;"MS Sans Serif,Félkövér dőlt"1. számú melléklet t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  <colBreaks count="2" manualBreakCount="2">
    <brk id="26" max="65" man="1"/>
    <brk id="28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="85" zoomScaleNormal="85" workbookViewId="0" topLeftCell="A10">
      <selection activeCell="G27" sqref="G27"/>
    </sheetView>
  </sheetViews>
  <sheetFormatPr defaultColWidth="9.140625" defaultRowHeight="12.75"/>
  <cols>
    <col min="1" max="1" width="47.8515625" style="13" bestFit="1" customWidth="1"/>
    <col min="2" max="2" width="19.8515625" style="13" customWidth="1"/>
    <col min="3" max="3" width="18.57421875" style="13" hidden="1" customWidth="1"/>
    <col min="4" max="4" width="20.57421875" style="13" hidden="1" customWidth="1"/>
    <col min="5" max="5" width="19.57421875" style="13" hidden="1" customWidth="1"/>
    <col min="6" max="6" width="19.421875" style="13" hidden="1" customWidth="1"/>
    <col min="7" max="7" width="18.421875" style="13" customWidth="1"/>
    <col min="8" max="8" width="43.57421875" style="13" bestFit="1" customWidth="1"/>
    <col min="9" max="9" width="21.8515625" style="13" customWidth="1"/>
    <col min="10" max="10" width="18.28125" style="13" hidden="1" customWidth="1"/>
    <col min="11" max="11" width="18.421875" style="13" hidden="1" customWidth="1"/>
    <col min="12" max="12" width="19.28125" style="13" hidden="1" customWidth="1"/>
    <col min="13" max="13" width="18.421875" style="13" hidden="1" customWidth="1"/>
    <col min="14" max="14" width="19.00390625" style="13" customWidth="1"/>
    <col min="15" max="15" width="13.28125" style="13" customWidth="1"/>
    <col min="16" max="16384" width="9.140625" style="13" customWidth="1"/>
  </cols>
  <sheetData>
    <row r="1" spans="8:13" ht="12.75">
      <c r="H1" s="1177" t="s">
        <v>639</v>
      </c>
      <c r="I1" s="1177"/>
      <c r="J1" s="1177"/>
      <c r="K1" s="1177"/>
      <c r="L1" s="1177"/>
      <c r="M1" s="1177"/>
    </row>
    <row r="2" spans="1:9" ht="19.5">
      <c r="A2" s="1174" t="s">
        <v>20</v>
      </c>
      <c r="B2" s="1174"/>
      <c r="C2" s="1174"/>
      <c r="D2" s="1174"/>
      <c r="E2" s="1174"/>
      <c r="F2" s="1174"/>
      <c r="G2" s="1174"/>
      <c r="H2" s="1174"/>
      <c r="I2" s="1174"/>
    </row>
    <row r="3" spans="1:9" ht="11.25" customHeight="1">
      <c r="A3" s="62"/>
      <c r="B3" s="62"/>
      <c r="C3" s="62"/>
      <c r="D3" s="62"/>
      <c r="E3" s="62"/>
      <c r="F3" s="62"/>
      <c r="G3" s="62"/>
      <c r="H3" s="62"/>
      <c r="I3" s="61" t="s">
        <v>461</v>
      </c>
    </row>
    <row r="4" spans="1:9" ht="17.25" customHeight="1" thickBot="1">
      <c r="A4" s="1175" t="s">
        <v>198</v>
      </c>
      <c r="B4" s="1176"/>
      <c r="C4" s="1176"/>
      <c r="D4" s="1176"/>
      <c r="E4" s="1176"/>
      <c r="F4" s="1176"/>
      <c r="G4" s="1176"/>
      <c r="H4" s="1175"/>
      <c r="I4" s="1176"/>
    </row>
    <row r="5" spans="1:14" ht="33" customHeight="1" thickBot="1">
      <c r="A5" s="322" t="s">
        <v>7</v>
      </c>
      <c r="B5" s="414" t="s">
        <v>231</v>
      </c>
      <c r="C5" s="415" t="s">
        <v>229</v>
      </c>
      <c r="D5" s="415" t="s">
        <v>232</v>
      </c>
      <c r="E5" s="415" t="s">
        <v>234</v>
      </c>
      <c r="F5" s="415" t="s">
        <v>248</v>
      </c>
      <c r="G5" s="416" t="s">
        <v>253</v>
      </c>
      <c r="H5" s="367" t="s">
        <v>8</v>
      </c>
      <c r="I5" s="414" t="s">
        <v>231</v>
      </c>
      <c r="J5" s="415" t="s">
        <v>229</v>
      </c>
      <c r="K5" s="415" t="s">
        <v>232</v>
      </c>
      <c r="L5" s="415" t="s">
        <v>234</v>
      </c>
      <c r="M5" s="415" t="s">
        <v>248</v>
      </c>
      <c r="N5" s="416" t="s">
        <v>253</v>
      </c>
    </row>
    <row r="6" spans="1:14" ht="12.75">
      <c r="A6" s="324" t="s">
        <v>333</v>
      </c>
      <c r="B6" s="417">
        <f>'3.sz.m Önk  bev.'!E7</f>
        <v>171760000</v>
      </c>
      <c r="C6" s="417">
        <f>'3.sz.m Önk  bev.'!F7</f>
        <v>171760000</v>
      </c>
      <c r="D6" s="417">
        <f>'3.sz.m Önk  bev.'!G7</f>
        <v>174481890</v>
      </c>
      <c r="E6" s="417">
        <f>'3.sz.m Önk  bev.'!H7</f>
        <v>174481890</v>
      </c>
      <c r="F6" s="417">
        <f>'3.sz.m Önk  bev.'!I7</f>
        <v>174992890</v>
      </c>
      <c r="G6" s="417">
        <f>'3.sz.m Önk  bev.'!J7</f>
        <v>189188503</v>
      </c>
      <c r="H6" s="401" t="s">
        <v>174</v>
      </c>
      <c r="I6" s="430">
        <f>'4.sz.m.ÖNK kiadás'!E7+'5.1 sz. m Köz Hiv'!D35+'5.2 sz. m ÁMK'!D38+'üres lap'!D27</f>
        <v>170503539</v>
      </c>
      <c r="J6" s="430">
        <f>'4.sz.m.ÖNK kiadás'!F7+'5.1 sz. m Köz Hiv'!E35+'5.2 sz. m ÁMK'!E38+'üres lap'!E27</f>
        <v>170503539</v>
      </c>
      <c r="K6" s="430">
        <f>'4.sz.m.ÖNK kiadás'!G7+'5.1 sz. m Köz Hiv'!F35+'5.2 sz. m ÁMK'!F38+'üres lap'!F27</f>
        <v>170438359</v>
      </c>
      <c r="L6" s="430">
        <f>'4.sz.m.ÖNK kiadás'!H7+'5.1 sz. m Köz Hiv'!G35+'5.2 sz. m ÁMK'!G38+'üres lap'!G27</f>
        <v>172005287</v>
      </c>
      <c r="M6" s="430">
        <f>'4.sz.m.ÖNK kiadás'!I7+'5.1 sz. m Köz Hiv'!H35+'5.2 sz. m ÁMK'!H38+'üres lap'!H27</f>
        <v>171662469</v>
      </c>
      <c r="N6" s="430">
        <f>'4.sz.m.ÖNK kiadás'!J7+'5.1 sz. m Köz Hiv'!I35+'5.2 sz. m ÁMK'!I38+'üres lap'!I27</f>
        <v>168180559</v>
      </c>
    </row>
    <row r="7" spans="1:14" ht="12.75">
      <c r="A7" s="325" t="s">
        <v>334</v>
      </c>
      <c r="B7" s="418">
        <f>'3.sz.m Önk  bev.'!E21+'5.1 sz. m Köz Hiv'!D9+'5.2 sz. m ÁMK'!D9</f>
        <v>52059053</v>
      </c>
      <c r="C7" s="418">
        <f>'3.sz.m Önk  bev.'!F21+'5.1 sz. m Köz Hiv'!E9+'5.2 sz. m ÁMK'!E9</f>
        <v>52124693</v>
      </c>
      <c r="D7" s="418">
        <f>'3.sz.m Önk  bev.'!G21+'5.1 sz. m Köz Hiv'!F9+'5.2 sz. m ÁMK'!F9</f>
        <v>54248868</v>
      </c>
      <c r="E7" s="418">
        <f>'3.sz.m Önk  bev.'!H21+'5.1 sz. m Köz Hiv'!G9+'5.2 sz. m ÁMK'!G9</f>
        <v>54248868</v>
      </c>
      <c r="F7" s="418">
        <f>'3.sz.m Önk  bev.'!I21+'5.1 sz. m Köz Hiv'!H9+'5.2 sz. m ÁMK'!H9</f>
        <v>56029263</v>
      </c>
      <c r="G7" s="418">
        <f>'3.sz.m Önk  bev.'!J21+'5.1 sz. m Köz Hiv'!I9+'5.2 sz. m ÁMK'!I9</f>
        <v>56177673</v>
      </c>
      <c r="H7" s="402" t="s">
        <v>175</v>
      </c>
      <c r="I7" s="418">
        <f>'4.sz.m.ÖNK kiadás'!E8+'5.1 sz. m Köz Hiv'!D36+'5.2 sz. m ÁMK'!D39+'üres lap'!D28</f>
        <v>38651471</v>
      </c>
      <c r="J7" s="418">
        <f>'4.sz.m.ÖNK kiadás'!F8+'5.1 sz. m Köz Hiv'!E36+'5.2 sz. m ÁMK'!E39+'üres lap'!E28</f>
        <v>38651471</v>
      </c>
      <c r="K7" s="418">
        <f>'4.sz.m.ÖNK kiadás'!G8+'5.1 sz. m Köz Hiv'!F36+'5.2 sz. m ÁMK'!F39+'üres lap'!F28</f>
        <v>38651471</v>
      </c>
      <c r="L7" s="418">
        <f>'4.sz.m.ÖNK kiadás'!H8+'5.1 sz. m Köz Hiv'!G36+'5.2 sz. m ÁMK'!G39+'üres lap'!G28</f>
        <v>39074543</v>
      </c>
      <c r="M7" s="418">
        <f>'4.sz.m.ÖNK kiadás'!I8+'5.1 sz. m Köz Hiv'!H36+'5.2 sz. m ÁMK'!H39+'üres lap'!H28</f>
        <v>39055796</v>
      </c>
      <c r="N7" s="418">
        <f>'4.sz.m.ÖNK kiadás'!J8+'5.1 sz. m Köz Hiv'!I36+'5.2 sz. m ÁMK'!I39+'üres lap'!I28</f>
        <v>38438022</v>
      </c>
    </row>
    <row r="8" spans="1:14" ht="25.5">
      <c r="A8" s="325" t="s">
        <v>335</v>
      </c>
      <c r="B8" s="418">
        <f>'3.sz.m Önk  bev.'!E32+'5.1 sz. m Köz Hiv'!D15+'5.2 sz. m ÁMK'!D18</f>
        <v>255822270</v>
      </c>
      <c r="C8" s="418">
        <f>'3.sz.m Önk  bev.'!F32+'5.1 sz. m Köz Hiv'!E15+'5.2 sz. m ÁMK'!E18</f>
        <v>255822270</v>
      </c>
      <c r="D8" s="418">
        <f>'3.sz.m Önk  bev.'!G32+'5.1 sz. m Köz Hiv'!F15+'5.2 sz. m ÁMK'!F18</f>
        <v>255822270</v>
      </c>
      <c r="E8" s="418">
        <f>'3.sz.m Önk  bev.'!H32+'5.1 sz. m Köz Hiv'!G15+'5.2 sz. m ÁMK'!G18</f>
        <v>264508418</v>
      </c>
      <c r="F8" s="418">
        <f>'3.sz.m Önk  bev.'!I32+'5.1 sz. m Köz Hiv'!H15+'5.2 sz. m ÁMK'!H18</f>
        <v>276651755</v>
      </c>
      <c r="G8" s="418">
        <f>'3.sz.m Önk  bev.'!J32+'5.1 sz. m Köz Hiv'!I15+'5.2 sz. m ÁMK'!I18</f>
        <v>280919250</v>
      </c>
      <c r="H8" s="402" t="s">
        <v>176</v>
      </c>
      <c r="I8" s="418">
        <f>'4.sz.m.ÖNK kiadás'!E9+'5.1 sz. m Köz Hiv'!D37+'5.2 sz. m ÁMK'!D40+'üres lap'!D29</f>
        <v>127616672</v>
      </c>
      <c r="J8" s="418">
        <f>'4.sz.m.ÖNK kiadás'!F9+'5.1 sz. m Köz Hiv'!E37+'5.2 sz. m ÁMK'!E40+'üres lap'!E29</f>
        <v>127773672</v>
      </c>
      <c r="K8" s="418">
        <f>'4.sz.m.ÖNK kiadás'!G9+'5.1 sz. m Köz Hiv'!F37+'5.2 sz. m ÁMK'!F40+'üres lap'!F29</f>
        <v>131946331</v>
      </c>
      <c r="L8" s="418">
        <f>'4.sz.m.ÖNK kiadás'!H9+'5.1 sz. m Köz Hiv'!G37+'5.2 sz. m ÁMK'!G40+'üres lap'!G29</f>
        <v>138295631</v>
      </c>
      <c r="M8" s="418">
        <f>'4.sz.m.ÖNK kiadás'!I9+'5.1 sz. m Köz Hiv'!H37+'5.2 sz. m ÁMK'!H40+'üres lap'!H29</f>
        <v>142431820</v>
      </c>
      <c r="N8" s="418">
        <f>'4.sz.m.ÖNK kiadás'!J9+'5.1 sz. m Köz Hiv'!I37+'5.2 sz. m ÁMK'!I40+'üres lap'!I29</f>
        <v>207090050</v>
      </c>
    </row>
    <row r="9" spans="1:14" ht="12.75">
      <c r="A9" s="325" t="s">
        <v>336</v>
      </c>
      <c r="B9" s="418">
        <f>'3.sz.m Önk  bev.'!E50+'5.1 sz. m Köz Hiv'!D21+'5.2 sz. m ÁMK'!D24</f>
        <v>0</v>
      </c>
      <c r="C9" s="418">
        <f>'3.sz.m Önk  bev.'!F50+'5.1 sz. m Köz Hiv'!E21+'5.2 sz. m ÁMK'!E24</f>
        <v>0</v>
      </c>
      <c r="D9" s="418">
        <f>'3.sz.m Önk  bev.'!G50+'5.1 sz. m Köz Hiv'!F21+'5.2 sz. m ÁMK'!F24</f>
        <v>368000</v>
      </c>
      <c r="E9" s="418">
        <f>'3.sz.m Önk  bev.'!H50+'5.1 sz. m Köz Hiv'!G21+'5.2 sz. m ÁMK'!G24</f>
        <v>368000</v>
      </c>
      <c r="F9" s="418">
        <f>'3.sz.m Önk  bev.'!I50+'5.1 sz. m Köz Hiv'!H21+'5.2 sz. m ÁMK'!H24</f>
        <v>368000</v>
      </c>
      <c r="G9" s="418">
        <f>'3.sz.m Önk  bev.'!J50+'5.1 sz. m Köz Hiv'!I21+'5.2 sz. m ÁMK'!I24</f>
        <v>368000</v>
      </c>
      <c r="H9" s="402" t="s">
        <v>177</v>
      </c>
      <c r="I9" s="431">
        <f>'4.sz.m.ÖNK kiadás'!E10+'5.1 sz. m Köz Hiv'!D38+'5.2 sz. m ÁMK'!D41+'üres lap'!D30</f>
        <v>3025952</v>
      </c>
      <c r="J9" s="431">
        <f>'4.sz.m.ÖNK kiadás'!F10+'5.1 sz. m Köz Hiv'!E38+'5.2 sz. m ÁMK'!E41+'üres lap'!E30</f>
        <v>3025952</v>
      </c>
      <c r="K9" s="431">
        <f>'4.sz.m.ÖNK kiadás'!G10+'5.1 sz. m Köz Hiv'!F38+'5.2 sz. m ÁMK'!F41+'üres lap'!F30</f>
        <v>3025952</v>
      </c>
      <c r="L9" s="431">
        <f>'4.sz.m.ÖNK kiadás'!H10+'5.1 sz. m Köz Hiv'!G38+'5.2 sz. m ÁMK'!G41+'üres lap'!G30</f>
        <v>3025952</v>
      </c>
      <c r="M9" s="431">
        <f>'4.sz.m.ÖNK kiadás'!I10+'5.1 sz. m Köz Hiv'!H38+'5.2 sz. m ÁMK'!H41+'üres lap'!H30</f>
        <v>3236952</v>
      </c>
      <c r="N9" s="431">
        <f>'4.sz.m.ÖNK kiadás'!J10+'5.1 sz. m Köz Hiv'!I38+'5.2 sz. m ÁMK'!I41+'üres lap'!I30</f>
        <v>2642000</v>
      </c>
    </row>
    <row r="10" spans="1:15" ht="12.75">
      <c r="A10" s="325"/>
      <c r="B10" s="418"/>
      <c r="C10" s="418"/>
      <c r="D10" s="418"/>
      <c r="E10" s="418"/>
      <c r="F10" s="418"/>
      <c r="G10" s="418"/>
      <c r="H10" s="403" t="s">
        <v>178</v>
      </c>
      <c r="I10" s="418">
        <f>'4.sz.m.ÖNK kiadás'!E11+'5.1 sz. m Köz Hiv'!D39+'5.2 sz. m ÁMK'!D42+'üres lap'!D31</f>
        <v>131028545</v>
      </c>
      <c r="J10" s="418">
        <f>'4.sz.m.ÖNK kiadás'!F11+'5.1 sz. m Köz Hiv'!E39+'5.2 sz. m ÁMK'!E42+'üres lap'!E31</f>
        <v>133095907</v>
      </c>
      <c r="K10" s="418">
        <f>'4.sz.m.ÖNK kiadás'!G11+'5.1 sz. m Köz Hiv'!F39+'5.2 sz. m ÁMK'!F42+'üres lap'!F31</f>
        <v>132940647</v>
      </c>
      <c r="L10" s="418">
        <f>'4.sz.m.ÖNK kiadás'!H11+'5.1 sz. m Köz Hiv'!G39+'5.2 sz. m ÁMK'!G42+'üres lap'!G31</f>
        <v>132940647</v>
      </c>
      <c r="M10" s="418">
        <f>'4.sz.m.ÖNK kiadás'!I11+'5.1 sz. m Köz Hiv'!H39+'5.2 sz. m ÁMK'!H42+'üres lap'!H31</f>
        <v>136767004</v>
      </c>
      <c r="N10" s="418">
        <f>'4.sz.m.ÖNK kiadás'!J11+'5.1 sz. m Köz Hiv'!I39+'5.2 sz. m ÁMK'!I42+'üres lap'!I31</f>
        <v>152734208</v>
      </c>
      <c r="O10" s="28"/>
    </row>
    <row r="11" spans="1:14" ht="12.75">
      <c r="A11" s="325"/>
      <c r="B11" s="418"/>
      <c r="C11" s="418"/>
      <c r="D11" s="418"/>
      <c r="E11" s="418"/>
      <c r="F11" s="418"/>
      <c r="G11" s="418"/>
      <c r="H11" s="402" t="s">
        <v>179</v>
      </c>
      <c r="I11" s="431">
        <f>'4.sz.m.ÖNK kiadás'!E25</f>
        <v>77908803</v>
      </c>
      <c r="J11" s="431">
        <f>'4.sz.m.ÖNK kiadás'!F25</f>
        <v>75176682</v>
      </c>
      <c r="K11" s="431">
        <f>'4.sz.m.ÖNK kiadás'!G25</f>
        <v>54733454</v>
      </c>
      <c r="L11" s="431">
        <f>'4.sz.m.ÖNK kiadás'!H25-L24</f>
        <v>60420179</v>
      </c>
      <c r="M11" s="431">
        <f>'4.sz.m.ÖNK kiadás'!I25</f>
        <v>57410165</v>
      </c>
      <c r="N11" s="431">
        <f>'4.sz.m.ÖNK kiadás'!J25</f>
        <v>0</v>
      </c>
    </row>
    <row r="12" spans="1:14" ht="12.75" hidden="1">
      <c r="A12" s="326"/>
      <c r="B12" s="419"/>
      <c r="C12" s="419"/>
      <c r="D12" s="419"/>
      <c r="E12" s="419"/>
      <c r="F12" s="419"/>
      <c r="G12" s="419"/>
      <c r="H12" s="404"/>
      <c r="I12" s="419"/>
      <c r="J12" s="419"/>
      <c r="K12" s="419"/>
      <c r="L12" s="419"/>
      <c r="M12" s="419"/>
      <c r="N12" s="419"/>
    </row>
    <row r="13" spans="1:14" ht="16.5" customHeight="1" hidden="1" thickBot="1">
      <c r="A13" s="327"/>
      <c r="B13" s="420"/>
      <c r="C13" s="420"/>
      <c r="D13" s="420"/>
      <c r="E13" s="420"/>
      <c r="F13" s="420"/>
      <c r="G13" s="420"/>
      <c r="H13" s="405"/>
      <c r="I13" s="420"/>
      <c r="J13" s="420"/>
      <c r="K13" s="420"/>
      <c r="L13" s="420"/>
      <c r="M13" s="420"/>
      <c r="N13" s="420"/>
    </row>
    <row r="14" spans="1:14" ht="24" customHeight="1" thickBot="1">
      <c r="A14" s="328" t="s">
        <v>181</v>
      </c>
      <c r="B14" s="421">
        <f aca="true" t="shared" si="0" ref="B14:G14">SUM(B6:B9)</f>
        <v>479641323</v>
      </c>
      <c r="C14" s="421">
        <f t="shared" si="0"/>
        <v>479706963</v>
      </c>
      <c r="D14" s="421">
        <f t="shared" si="0"/>
        <v>484921028</v>
      </c>
      <c r="E14" s="421">
        <f t="shared" si="0"/>
        <v>493607176</v>
      </c>
      <c r="F14" s="421">
        <f t="shared" si="0"/>
        <v>508041908</v>
      </c>
      <c r="G14" s="421">
        <f t="shared" si="0"/>
        <v>526653426</v>
      </c>
      <c r="H14" s="605" t="s">
        <v>182</v>
      </c>
      <c r="I14" s="421">
        <f aca="true" t="shared" si="1" ref="I14:N14">SUM(I6:I13)</f>
        <v>548734982</v>
      </c>
      <c r="J14" s="421">
        <f t="shared" si="1"/>
        <v>548227223</v>
      </c>
      <c r="K14" s="421">
        <f t="shared" si="1"/>
        <v>531736214</v>
      </c>
      <c r="L14" s="421">
        <f t="shared" si="1"/>
        <v>545762239</v>
      </c>
      <c r="M14" s="421">
        <f t="shared" si="1"/>
        <v>550564206</v>
      </c>
      <c r="N14" s="421">
        <f t="shared" si="1"/>
        <v>569084839</v>
      </c>
    </row>
    <row r="15" spans="1:14" ht="18.75" customHeight="1">
      <c r="A15" s="329" t="s">
        <v>474</v>
      </c>
      <c r="B15" s="323">
        <f>'3.sz.m Önk  bev.'!E59+'5.1 sz. m Köz Hiv'!D26+'5.2 sz. m ÁMK'!D29-B27</f>
        <v>77946078</v>
      </c>
      <c r="C15" s="323">
        <f>'3.sz.m Önk  bev.'!F59+'5.1 sz. m Köz Hiv'!E26+'5.2 sz. m ÁMK'!E29-C27</f>
        <v>77372679</v>
      </c>
      <c r="D15" s="323">
        <f>'3.sz.m Önk  bev.'!G59+'5.1 sz. m Köz Hiv'!F26+'5.2 sz. m ÁMK'!F29-D27</f>
        <v>55667605</v>
      </c>
      <c r="E15" s="323">
        <f>'3.sz.m Önk  bev.'!H59+'5.1 sz. m Köz Hiv'!G26+'5.2 sz. m ÁMK'!G29-E27</f>
        <v>61007482</v>
      </c>
      <c r="F15" s="323">
        <f>'3.sz.m Önk  bev.'!I59+'5.1 sz. m Köz Hiv'!H26+'5.2 sz. m ÁMK'!H29-F27</f>
        <v>51374717</v>
      </c>
      <c r="G15" s="323">
        <f>'3.sz.m Önk  bev.'!J59+'5.1 sz. m Köz Hiv'!I26+'5.2 sz. m ÁMK'!I29-G27</f>
        <v>41519452</v>
      </c>
      <c r="H15" s="401" t="s">
        <v>481</v>
      </c>
      <c r="I15" s="417">
        <f>'4.sz.m.ÖNK kiadás'!E34</f>
        <v>29500000</v>
      </c>
      <c r="J15" s="417">
        <f>'4.sz.m.ÖNK kiadás'!F34</f>
        <v>29500000</v>
      </c>
      <c r="K15" s="417">
        <f>'4.sz.m.ÖNK kiadás'!G34</f>
        <v>29500000</v>
      </c>
      <c r="L15" s="417">
        <f>'4.sz.m.ÖNK kiadás'!H34</f>
        <v>29500000</v>
      </c>
      <c r="M15" s="417">
        <f>'4.sz.m.ÖNK kiadás'!I34</f>
        <v>29500000</v>
      </c>
      <c r="N15" s="417">
        <f>'4.sz.m.ÖNK kiadás'!J34</f>
        <v>29500000</v>
      </c>
    </row>
    <row r="16" spans="1:14" ht="18.75" customHeight="1">
      <c r="A16" s="329" t="s">
        <v>558</v>
      </c>
      <c r="B16" s="979">
        <f>'3.sz.m Önk  bev.'!E58</f>
        <v>28770000</v>
      </c>
      <c r="C16" s="979">
        <f>'3.sz.m Önk  bev.'!F58</f>
        <v>28770000</v>
      </c>
      <c r="D16" s="979">
        <f>'3.sz.m Önk  bev.'!G58</f>
        <v>28770000</v>
      </c>
      <c r="E16" s="979">
        <f>'3.sz.m Önk  bev.'!H58</f>
        <v>28770000</v>
      </c>
      <c r="F16" s="979">
        <f>'3.sz.m Önk  bev.'!I58</f>
        <v>28770000</v>
      </c>
      <c r="G16" s="979">
        <f>'3.sz.m Önk  bev.'!J58</f>
        <v>28770000</v>
      </c>
      <c r="H16" s="404" t="s">
        <v>438</v>
      </c>
      <c r="I16" s="419">
        <f>'4.sz.m.ÖNK kiadás'!E36</f>
        <v>8122419</v>
      </c>
      <c r="J16" s="419">
        <f>'4.sz.m.ÖNK kiadás'!F36</f>
        <v>8122419</v>
      </c>
      <c r="K16" s="419">
        <f>'4.sz.m.ÖNK kiadás'!G36</f>
        <v>8122419</v>
      </c>
      <c r="L16" s="419">
        <f>'4.sz.m.ÖNK kiadás'!H36</f>
        <v>8122419</v>
      </c>
      <c r="M16" s="419">
        <f>'4.sz.m.ÖNK kiadás'!I36</f>
        <v>8122419</v>
      </c>
      <c r="N16" s="419">
        <f>'4.sz.m.ÖNK kiadás'!J36</f>
        <v>8122419</v>
      </c>
    </row>
    <row r="17" spans="1:14" ht="15" customHeight="1" thickBot="1">
      <c r="A17" s="330" t="s">
        <v>458</v>
      </c>
      <c r="B17" s="422"/>
      <c r="C17" s="422"/>
      <c r="D17" s="422"/>
      <c r="E17" s="422"/>
      <c r="F17" s="422"/>
      <c r="G17" s="422">
        <f>'3.sz.m Önk  bev.'!J57</f>
        <v>9764380</v>
      </c>
      <c r="H17" s="404"/>
      <c r="I17" s="419"/>
      <c r="J17" s="419"/>
      <c r="K17" s="419"/>
      <c r="L17" s="419"/>
      <c r="M17" s="419"/>
      <c r="N17" s="419"/>
    </row>
    <row r="18" spans="1:14" ht="25.5" customHeight="1" thickBot="1">
      <c r="A18" s="331" t="s">
        <v>186</v>
      </c>
      <c r="B18" s="423">
        <f aca="true" t="shared" si="2" ref="B18:G18">SUM(B15:B17)</f>
        <v>106716078</v>
      </c>
      <c r="C18" s="423">
        <f t="shared" si="2"/>
        <v>106142679</v>
      </c>
      <c r="D18" s="423">
        <f t="shared" si="2"/>
        <v>84437605</v>
      </c>
      <c r="E18" s="423">
        <f t="shared" si="2"/>
        <v>89777482</v>
      </c>
      <c r="F18" s="423">
        <f t="shared" si="2"/>
        <v>80144717</v>
      </c>
      <c r="G18" s="423">
        <f t="shared" si="2"/>
        <v>80053832</v>
      </c>
      <c r="H18" s="406" t="s">
        <v>193</v>
      </c>
      <c r="I18" s="423">
        <f aca="true" t="shared" si="3" ref="I18:N18">SUM(I15:I17)</f>
        <v>37622419</v>
      </c>
      <c r="J18" s="423">
        <f t="shared" si="3"/>
        <v>37622419</v>
      </c>
      <c r="K18" s="423">
        <f t="shared" si="3"/>
        <v>37622419</v>
      </c>
      <c r="L18" s="423">
        <f t="shared" si="3"/>
        <v>37622419</v>
      </c>
      <c r="M18" s="423">
        <f t="shared" si="3"/>
        <v>37622419</v>
      </c>
      <c r="N18" s="423">
        <f t="shared" si="3"/>
        <v>37622419</v>
      </c>
    </row>
    <row r="19" spans="1:14" ht="22.5" customHeight="1" thickBot="1">
      <c r="A19" s="332" t="s">
        <v>167</v>
      </c>
      <c r="B19" s="424">
        <f aca="true" t="shared" si="4" ref="B19:G19">B14+B18</f>
        <v>586357401</v>
      </c>
      <c r="C19" s="424">
        <f t="shared" si="4"/>
        <v>585849642</v>
      </c>
      <c r="D19" s="424">
        <f t="shared" si="4"/>
        <v>569358633</v>
      </c>
      <c r="E19" s="424">
        <f t="shared" si="4"/>
        <v>583384658</v>
      </c>
      <c r="F19" s="424">
        <f t="shared" si="4"/>
        <v>588186625</v>
      </c>
      <c r="G19" s="424">
        <f t="shared" si="4"/>
        <v>606707258</v>
      </c>
      <c r="H19" s="407" t="s">
        <v>168</v>
      </c>
      <c r="I19" s="424">
        <f aca="true" t="shared" si="5" ref="I19:N19">I14+I18</f>
        <v>586357401</v>
      </c>
      <c r="J19" s="424">
        <f t="shared" si="5"/>
        <v>585849642</v>
      </c>
      <c r="K19" s="424">
        <f t="shared" si="5"/>
        <v>569358633</v>
      </c>
      <c r="L19" s="424">
        <f t="shared" si="5"/>
        <v>583384658</v>
      </c>
      <c r="M19" s="424">
        <f t="shared" si="5"/>
        <v>588186625</v>
      </c>
      <c r="N19" s="424">
        <f t="shared" si="5"/>
        <v>606707258</v>
      </c>
    </row>
    <row r="20" spans="1:11" ht="22.5" customHeight="1" thickBot="1">
      <c r="A20" s="1175" t="s">
        <v>199</v>
      </c>
      <c r="B20" s="1176"/>
      <c r="C20" s="1176"/>
      <c r="D20" s="1176"/>
      <c r="E20" s="1176"/>
      <c r="F20" s="1176"/>
      <c r="G20" s="1176"/>
      <c r="H20" s="1175"/>
      <c r="I20" s="1176"/>
      <c r="J20" s="28"/>
      <c r="K20" s="28"/>
    </row>
    <row r="21" spans="1:16" ht="12.75">
      <c r="A21" s="324" t="s">
        <v>169</v>
      </c>
      <c r="B21" s="425">
        <f>'3.sz.m Önk  bev.'!E42</f>
        <v>40000000</v>
      </c>
      <c r="C21" s="425">
        <f>'3.sz.m Önk  bev.'!F42</f>
        <v>40000000</v>
      </c>
      <c r="D21" s="425">
        <f>'3.sz.m Önk  bev.'!G42</f>
        <v>40000000</v>
      </c>
      <c r="E21" s="425">
        <f>'3.sz.m Önk  bev.'!H41+'5.1 sz. m Köz Hiv'!G18+'5.2 sz. m ÁMK'!G21</f>
        <v>208644474</v>
      </c>
      <c r="F21" s="425">
        <f>'3.sz.m Önk  bev.'!I41+'5.1 sz. m Köz Hiv'!H18+'5.2 sz. m ÁMK'!H21</f>
        <v>204800474</v>
      </c>
      <c r="G21" s="425">
        <f>'3.sz.m Önk  bev.'!J41+'5.1 sz. m Köz Hiv'!I18+'5.2 sz. m ÁMK'!I21</f>
        <v>205085474</v>
      </c>
      <c r="H21" s="408" t="s">
        <v>171</v>
      </c>
      <c r="I21" s="430">
        <f>'4.sz.m.ÖNK kiadás'!E18+'5.1 sz. m Köz Hiv'!D41+'5.2 sz. m ÁMK'!D44</f>
        <v>12165042</v>
      </c>
      <c r="J21" s="430">
        <f>'4.sz.m.ÖNK kiadás'!F18+'5.1 sz. m Köz Hiv'!E41+'5.2 sz. m ÁMK'!E44</f>
        <v>12672801</v>
      </c>
      <c r="K21" s="430">
        <f>'4.sz.m.ÖNK kiadás'!G18+'5.1 sz. m Köz Hiv'!F41+'5.2 sz. m ÁMK'!F44</f>
        <v>13322601</v>
      </c>
      <c r="L21" s="430">
        <f>'4.sz.m.ÖNK kiadás'!H18+'5.1 sz. m Köz Hiv'!G41+'5.2 sz. m ÁMK'!G44</f>
        <v>99128123</v>
      </c>
      <c r="M21" s="430">
        <f>'4.sz.m.ÖNK kiadás'!I18+'5.1 sz. m Köz Hiv'!H41+'5.2 sz. m ÁMK'!H44</f>
        <v>99293593</v>
      </c>
      <c r="N21" s="430">
        <f>'4.sz.m.ÖNK kiadás'!J18+'5.1 sz. m Köz Hiv'!I41+'5.2 sz. m ÁMK'!I44</f>
        <v>99177577</v>
      </c>
      <c r="O21" s="28"/>
      <c r="P21" s="28"/>
    </row>
    <row r="22" spans="1:15" ht="25.5">
      <c r="A22" s="325" t="s">
        <v>484</v>
      </c>
      <c r="B22" s="418">
        <v>0</v>
      </c>
      <c r="C22" s="418">
        <v>0</v>
      </c>
      <c r="D22" s="418">
        <f>'3.sz.m Önk  bev.'!G51</f>
        <v>200000</v>
      </c>
      <c r="E22" s="418">
        <f>'3.sz.m Önk  bev.'!H51</f>
        <v>200000</v>
      </c>
      <c r="F22" s="418">
        <f>'3.sz.m Önk  bev.'!I51</f>
        <v>200000</v>
      </c>
      <c r="G22" s="418">
        <f>'3.sz.m Önk  bev.'!J51</f>
        <v>200000</v>
      </c>
      <c r="H22" s="402" t="s">
        <v>172</v>
      </c>
      <c r="I22" s="418">
        <f>'4.sz.m.ÖNK kiadás'!E19</f>
        <v>94635000</v>
      </c>
      <c r="J22" s="418">
        <f>'4.sz.m.ÖNK kiadás'!F19</f>
        <v>94635000</v>
      </c>
      <c r="K22" s="418">
        <f>'4.sz.m.ÖNK kiadás'!G19</f>
        <v>115970274</v>
      </c>
      <c r="L22" s="418">
        <f>'4.sz.m.ÖNK kiadás'!H19+'5.2 sz. m ÁMK'!G46</f>
        <v>190355444</v>
      </c>
      <c r="M22" s="418">
        <f>'4.sz.m.ÖNK kiadás'!I19+'5.2 sz. m ÁMK'!H46</f>
        <v>197222644</v>
      </c>
      <c r="N22" s="418">
        <f>'4.sz.m.ÖNK kiadás'!J19+'5.2 sz. m ÁMK'!I46</f>
        <v>206085925</v>
      </c>
      <c r="O22" s="28"/>
    </row>
    <row r="23" spans="1:14" ht="12.75">
      <c r="A23" s="325" t="s">
        <v>170</v>
      </c>
      <c r="B23" s="418">
        <f>'3.sz.m Önk  bev.'!E53</f>
        <v>33000000</v>
      </c>
      <c r="C23" s="418">
        <f>'3.sz.m Önk  bev.'!F53</f>
        <v>33000000</v>
      </c>
      <c r="D23" s="418">
        <f>'3.sz.m Önk  bev.'!G53</f>
        <v>33080000</v>
      </c>
      <c r="E23" s="418">
        <f>'3.sz.m Önk  bev.'!H52</f>
        <v>33080000</v>
      </c>
      <c r="F23" s="418">
        <f>'3.sz.m Önk  bev.'!I52</f>
        <v>33080000</v>
      </c>
      <c r="G23" s="418">
        <f>'3.sz.m Önk  bev.'!J52</f>
        <v>31687000</v>
      </c>
      <c r="H23" s="402" t="s">
        <v>173</v>
      </c>
      <c r="I23" s="418">
        <f>'4.sz.m.ÖNK kiadás'!E20</f>
        <v>3000000</v>
      </c>
      <c r="J23" s="418">
        <f>'4.sz.m.ÖNK kiadás'!F20</f>
        <v>3000000</v>
      </c>
      <c r="K23" s="418">
        <f>'4.sz.m.ÖNK kiadás'!G20</f>
        <v>3000000</v>
      </c>
      <c r="L23" s="418">
        <f>'4.sz.m.ÖNK kiadás'!H20</f>
        <v>3000000</v>
      </c>
      <c r="M23" s="418">
        <f>'4.sz.m.ÖNK kiadás'!I20</f>
        <v>4870000</v>
      </c>
      <c r="N23" s="418">
        <f>'4.sz.m.ÖNK kiadás'!J20</f>
        <v>4870000</v>
      </c>
    </row>
    <row r="24" spans="1:15" ht="13.5" thickBot="1">
      <c r="A24" s="325"/>
      <c r="B24" s="418"/>
      <c r="C24" s="418"/>
      <c r="D24" s="418"/>
      <c r="E24" s="418"/>
      <c r="F24" s="418"/>
      <c r="G24" s="418"/>
      <c r="H24" s="402" t="s">
        <v>180</v>
      </c>
      <c r="I24" s="418"/>
      <c r="J24" s="418"/>
      <c r="K24" s="418"/>
      <c r="L24" s="418">
        <v>3113905</v>
      </c>
      <c r="M24" s="418"/>
      <c r="N24" s="418"/>
      <c r="O24" s="28"/>
    </row>
    <row r="25" spans="1:14" ht="13.5" hidden="1" thickBot="1">
      <c r="A25" s="334"/>
      <c r="B25" s="419"/>
      <c r="C25" s="419"/>
      <c r="D25" s="419"/>
      <c r="E25" s="419"/>
      <c r="F25" s="419"/>
      <c r="G25" s="419"/>
      <c r="H25" s="404"/>
      <c r="I25" s="419"/>
      <c r="J25" s="419"/>
      <c r="K25" s="419"/>
      <c r="L25" s="419"/>
      <c r="M25" s="419"/>
      <c r="N25" s="419"/>
    </row>
    <row r="26" spans="1:14" ht="13.5" thickBot="1">
      <c r="A26" s="335" t="s">
        <v>184</v>
      </c>
      <c r="B26" s="424">
        <f aca="true" t="shared" si="6" ref="B26:G26">SUM(B21:B24)</f>
        <v>73000000</v>
      </c>
      <c r="C26" s="424">
        <f t="shared" si="6"/>
        <v>73000000</v>
      </c>
      <c r="D26" s="424">
        <f t="shared" si="6"/>
        <v>73280000</v>
      </c>
      <c r="E26" s="424">
        <f t="shared" si="6"/>
        <v>241924474</v>
      </c>
      <c r="F26" s="424">
        <f t="shared" si="6"/>
        <v>238080474</v>
      </c>
      <c r="G26" s="424">
        <f t="shared" si="6"/>
        <v>236972474</v>
      </c>
      <c r="H26" s="409" t="s">
        <v>183</v>
      </c>
      <c r="I26" s="432">
        <f aca="true" t="shared" si="7" ref="I26:N26">SUM(I21:I25)</f>
        <v>109800042</v>
      </c>
      <c r="J26" s="432">
        <f t="shared" si="7"/>
        <v>110307801</v>
      </c>
      <c r="K26" s="432">
        <f t="shared" si="7"/>
        <v>132292875</v>
      </c>
      <c r="L26" s="432">
        <f t="shared" si="7"/>
        <v>295597472</v>
      </c>
      <c r="M26" s="432">
        <f t="shared" si="7"/>
        <v>301386237</v>
      </c>
      <c r="N26" s="432">
        <f t="shared" si="7"/>
        <v>310133502</v>
      </c>
    </row>
    <row r="27" spans="1:14" ht="15" customHeight="1">
      <c r="A27" s="329" t="s">
        <v>474</v>
      </c>
      <c r="B27" s="426">
        <v>39823782</v>
      </c>
      <c r="C27" s="426">
        <f>39823782+14999+347980+144780</f>
        <v>40331541</v>
      </c>
      <c r="D27" s="426">
        <f>39823782+14999+347980+144780+21705074</f>
        <v>62036615</v>
      </c>
      <c r="E27" s="426">
        <f>10090000+8316000+2061005+36229733</f>
        <v>56696738</v>
      </c>
      <c r="F27" s="426">
        <f>10090000+8316000+2061005+36229733+9632765</f>
        <v>66329503</v>
      </c>
      <c r="G27" s="426">
        <f>10090000+8316000+2061005+36229733+9632765+9855265</f>
        <v>76184768</v>
      </c>
      <c r="H27" s="410" t="s">
        <v>185</v>
      </c>
      <c r="I27" s="417">
        <f>'4.sz.m.ÖNK kiadás'!E33</f>
        <v>3023740</v>
      </c>
      <c r="J27" s="417">
        <f>'4.sz.m.ÖNK kiadás'!F33</f>
        <v>3023740</v>
      </c>
      <c r="K27" s="417">
        <f>'4.sz.m.ÖNK kiadás'!G33</f>
        <v>3023740</v>
      </c>
      <c r="L27" s="417">
        <f>'4.sz.m.ÖNK kiadás'!H33</f>
        <v>3023740</v>
      </c>
      <c r="M27" s="417">
        <f>'4.sz.m.ÖNK kiadás'!I33</f>
        <v>3023740</v>
      </c>
      <c r="N27" s="417">
        <f>'4.sz.m.ÖNK kiadás'!J33</f>
        <v>3023740</v>
      </c>
    </row>
    <row r="28" spans="1:14" ht="13.5" thickBot="1">
      <c r="A28" s="330" t="s">
        <v>166</v>
      </c>
      <c r="B28" s="427">
        <f>'3.sz.m Önk  bev.'!E57</f>
        <v>0</v>
      </c>
      <c r="C28" s="427">
        <f>'3.sz.m Önk  bev.'!F57</f>
        <v>0</v>
      </c>
      <c r="D28" s="427">
        <f>'3.sz.m Önk  bev.'!G57</f>
        <v>0</v>
      </c>
      <c r="E28" s="427">
        <f>'3.sz.m Önk  bev.'!H57</f>
        <v>0</v>
      </c>
      <c r="F28" s="427">
        <f>'3.sz.m Önk  bev.'!I57</f>
        <v>0</v>
      </c>
      <c r="G28" s="427"/>
      <c r="H28" s="411" t="s">
        <v>480</v>
      </c>
      <c r="I28" s="419"/>
      <c r="J28" s="419"/>
      <c r="K28" s="419"/>
      <c r="L28" s="419"/>
      <c r="M28" s="419"/>
      <c r="N28" s="419"/>
    </row>
    <row r="29" spans="1:14" ht="25.5" customHeight="1" thickBot="1">
      <c r="A29" s="336" t="s">
        <v>187</v>
      </c>
      <c r="B29" s="423">
        <f aca="true" t="shared" si="8" ref="B29:G29">SUM(B27:B28)</f>
        <v>39823782</v>
      </c>
      <c r="C29" s="423">
        <f t="shared" si="8"/>
        <v>40331541</v>
      </c>
      <c r="D29" s="423">
        <f t="shared" si="8"/>
        <v>62036615</v>
      </c>
      <c r="E29" s="423">
        <f t="shared" si="8"/>
        <v>56696738</v>
      </c>
      <c r="F29" s="423">
        <f t="shared" si="8"/>
        <v>66329503</v>
      </c>
      <c r="G29" s="423">
        <f t="shared" si="8"/>
        <v>76184768</v>
      </c>
      <c r="H29" s="409" t="s">
        <v>188</v>
      </c>
      <c r="I29" s="424">
        <f aca="true" t="shared" si="9" ref="I29:N29">SUM(I27:I28)</f>
        <v>3023740</v>
      </c>
      <c r="J29" s="424">
        <f t="shared" si="9"/>
        <v>3023740</v>
      </c>
      <c r="K29" s="424">
        <f t="shared" si="9"/>
        <v>3023740</v>
      </c>
      <c r="L29" s="424">
        <f t="shared" si="9"/>
        <v>3023740</v>
      </c>
      <c r="M29" s="424">
        <f t="shared" si="9"/>
        <v>3023740</v>
      </c>
      <c r="N29" s="424">
        <f t="shared" si="9"/>
        <v>3023740</v>
      </c>
    </row>
    <row r="30" spans="1:15" ht="26.25" customHeight="1" thickBot="1">
      <c r="A30" s="333" t="s">
        <v>189</v>
      </c>
      <c r="B30" s="424">
        <f aca="true" t="shared" si="10" ref="B30:G30">B26+B29</f>
        <v>112823782</v>
      </c>
      <c r="C30" s="424">
        <f t="shared" si="10"/>
        <v>113331541</v>
      </c>
      <c r="D30" s="424">
        <f t="shared" si="10"/>
        <v>135316615</v>
      </c>
      <c r="E30" s="424">
        <f t="shared" si="10"/>
        <v>298621212</v>
      </c>
      <c r="F30" s="424">
        <f t="shared" si="10"/>
        <v>304409977</v>
      </c>
      <c r="G30" s="424">
        <f t="shared" si="10"/>
        <v>313157242</v>
      </c>
      <c r="H30" s="412" t="s">
        <v>190</v>
      </c>
      <c r="I30" s="424">
        <f aca="true" t="shared" si="11" ref="I30:N30">I29+I26</f>
        <v>112823782</v>
      </c>
      <c r="J30" s="424">
        <f t="shared" si="11"/>
        <v>113331541</v>
      </c>
      <c r="K30" s="424">
        <f t="shared" si="11"/>
        <v>135316615</v>
      </c>
      <c r="L30" s="424">
        <f t="shared" si="11"/>
        <v>298621212</v>
      </c>
      <c r="M30" s="424">
        <f t="shared" si="11"/>
        <v>304409977</v>
      </c>
      <c r="N30" s="424">
        <f t="shared" si="11"/>
        <v>313157242</v>
      </c>
      <c r="O30" s="28"/>
    </row>
    <row r="31" spans="1:14" ht="26.25" customHeight="1" hidden="1" thickBot="1">
      <c r="A31" s="333" t="s">
        <v>241</v>
      </c>
      <c r="B31" s="428"/>
      <c r="C31" s="428"/>
      <c r="D31" s="428"/>
      <c r="E31" s="428"/>
      <c r="F31" s="428"/>
      <c r="G31" s="428"/>
      <c r="H31" s="412" t="s">
        <v>240</v>
      </c>
      <c r="I31" s="424"/>
      <c r="J31" s="424"/>
      <c r="K31" s="424"/>
      <c r="L31" s="424"/>
      <c r="M31" s="424"/>
      <c r="N31" s="424"/>
    </row>
    <row r="32" spans="1:14" ht="29.25" customHeight="1" thickBot="1">
      <c r="A32" s="337" t="s">
        <v>191</v>
      </c>
      <c r="B32" s="429">
        <f aca="true" t="shared" si="12" ref="B32:G32">B19+B30</f>
        <v>699181183</v>
      </c>
      <c r="C32" s="429">
        <f t="shared" si="12"/>
        <v>699181183</v>
      </c>
      <c r="D32" s="429">
        <f t="shared" si="12"/>
        <v>704675248</v>
      </c>
      <c r="E32" s="429">
        <f t="shared" si="12"/>
        <v>882005870</v>
      </c>
      <c r="F32" s="429">
        <f t="shared" si="12"/>
        <v>892596602</v>
      </c>
      <c r="G32" s="429">
        <f t="shared" si="12"/>
        <v>919864500</v>
      </c>
      <c r="H32" s="413" t="s">
        <v>192</v>
      </c>
      <c r="I32" s="433">
        <f aca="true" t="shared" si="13" ref="I32:N32">I30+I19</f>
        <v>699181183</v>
      </c>
      <c r="J32" s="433">
        <f t="shared" si="13"/>
        <v>699181183</v>
      </c>
      <c r="K32" s="433">
        <f t="shared" si="13"/>
        <v>704675248</v>
      </c>
      <c r="L32" s="433">
        <f t="shared" si="13"/>
        <v>882005870</v>
      </c>
      <c r="M32" s="433">
        <f t="shared" si="13"/>
        <v>892596602</v>
      </c>
      <c r="N32" s="433">
        <f t="shared" si="13"/>
        <v>919864500</v>
      </c>
    </row>
    <row r="34" spans="2:12" ht="12.75">
      <c r="B34" s="28"/>
      <c r="C34" s="28"/>
      <c r="D34" s="28"/>
      <c r="E34" s="28"/>
      <c r="F34" s="28"/>
      <c r="G34" s="28"/>
      <c r="I34" s="28"/>
      <c r="K34" s="28"/>
      <c r="L34" s="28"/>
    </row>
    <row r="35" spans="5:14" ht="12.75">
      <c r="E35" s="28"/>
      <c r="F35" s="28"/>
      <c r="L35" s="28"/>
      <c r="M35" s="28"/>
      <c r="N35" s="28"/>
    </row>
    <row r="36" spans="3:9" ht="12.75">
      <c r="C36" s="28"/>
      <c r="H36" s="28"/>
      <c r="I36" s="28"/>
    </row>
    <row r="37" ht="12.75">
      <c r="C37" s="28"/>
    </row>
    <row r="38" ht="12.75">
      <c r="C38" s="28"/>
    </row>
  </sheetData>
  <sheetProtection/>
  <mergeCells count="4">
    <mergeCell ref="A2:I2"/>
    <mergeCell ref="A20:I20"/>
    <mergeCell ref="A4:I4"/>
    <mergeCell ref="H1:M1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61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tabSelected="1" zoomScale="75" zoomScaleNormal="75" zoomScalePageLayoutView="0" workbookViewId="0" topLeftCell="A1">
      <selection activeCell="B6" sqref="B6:D6"/>
    </sheetView>
  </sheetViews>
  <sheetFormatPr defaultColWidth="9.140625" defaultRowHeight="12.75"/>
  <cols>
    <col min="1" max="2" width="5.7109375" style="1056" customWidth="1"/>
    <col min="3" max="3" width="8.8515625" style="1056" customWidth="1"/>
    <col min="4" max="4" width="56.00390625" style="1057" bestFit="1" customWidth="1"/>
    <col min="5" max="5" width="22.57421875" style="315" customWidth="1"/>
    <col min="6" max="6" width="19.00390625" style="315" hidden="1" customWidth="1"/>
    <col min="7" max="7" width="17.421875" style="315" hidden="1" customWidth="1"/>
    <col min="8" max="9" width="17.8515625" style="315" hidden="1" customWidth="1"/>
    <col min="10" max="10" width="17.8515625" style="315" customWidth="1"/>
    <col min="11" max="11" width="17.8515625" style="315" hidden="1" customWidth="1"/>
    <col min="12" max="12" width="17.8515625" style="315" customWidth="1"/>
    <col min="13" max="16" width="17.8515625" style="315" hidden="1" customWidth="1"/>
    <col min="17" max="17" width="17.8515625" style="315" customWidth="1"/>
    <col min="18" max="18" width="17.8515625" style="315" hidden="1" customWidth="1"/>
    <col min="19" max="19" width="17.8515625" style="999" customWidth="1"/>
    <col min="20" max="22" width="17.8515625" style="315" hidden="1" customWidth="1"/>
    <col min="23" max="23" width="17.8515625" style="999" hidden="1" customWidth="1"/>
    <col min="24" max="24" width="17.8515625" style="999" customWidth="1"/>
    <col min="25" max="25" width="17.8515625" style="999" hidden="1" customWidth="1"/>
    <col min="26" max="26" width="17.8515625" style="999" customWidth="1"/>
    <col min="27" max="16384" width="9.140625" style="999" customWidth="1"/>
  </cols>
  <sheetData>
    <row r="1" spans="1:23" ht="12.75">
      <c r="A1" s="997"/>
      <c r="B1" s="997"/>
      <c r="C1" s="997"/>
      <c r="D1" s="998"/>
      <c r="S1" s="1184" t="s">
        <v>638</v>
      </c>
      <c r="T1" s="1184"/>
      <c r="U1" s="1184"/>
      <c r="V1" s="1184"/>
      <c r="W1" s="1184"/>
    </row>
    <row r="2" spans="1:22" s="1002" customFormat="1" ht="34.5" customHeight="1">
      <c r="A2" s="1187" t="s">
        <v>559</v>
      </c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7"/>
      <c r="Q2" s="1187"/>
      <c r="R2" s="1187"/>
      <c r="S2" s="1187"/>
      <c r="T2" s="1000"/>
      <c r="U2" s="1001"/>
      <c r="V2" s="1001"/>
    </row>
    <row r="3" spans="1:19" ht="13.5" thickBot="1">
      <c r="A3" s="1003"/>
      <c r="B3" s="1003"/>
      <c r="C3" s="1003"/>
      <c r="D3" s="1004"/>
      <c r="L3" s="1005"/>
      <c r="M3" s="1005"/>
      <c r="N3" s="1005"/>
      <c r="O3" s="1005"/>
      <c r="P3" s="1005"/>
      <c r="Q3" s="1005"/>
      <c r="R3" s="1005"/>
      <c r="S3" s="38" t="s">
        <v>461</v>
      </c>
    </row>
    <row r="4" spans="1:25" ht="45.75" customHeight="1" thickBot="1">
      <c r="A4" s="1106" t="s">
        <v>6</v>
      </c>
      <c r="B4" s="1107"/>
      <c r="C4" s="1107"/>
      <c r="D4" s="320" t="s">
        <v>9</v>
      </c>
      <c r="E4" s="1109" t="s">
        <v>5</v>
      </c>
      <c r="F4" s="1110"/>
      <c r="G4" s="1110"/>
      <c r="H4" s="1110"/>
      <c r="I4" s="1110"/>
      <c r="J4" s="1110"/>
      <c r="K4" s="1111"/>
      <c r="L4" s="1109" t="s">
        <v>61</v>
      </c>
      <c r="M4" s="1110"/>
      <c r="N4" s="1110"/>
      <c r="O4" s="1110"/>
      <c r="P4" s="1110"/>
      <c r="Q4" s="1110"/>
      <c r="R4" s="1111"/>
      <c r="S4" s="1109" t="s">
        <v>62</v>
      </c>
      <c r="T4" s="1110"/>
      <c r="U4" s="1110"/>
      <c r="V4" s="1110"/>
      <c r="W4" s="1110"/>
      <c r="X4" s="1110"/>
      <c r="Y4" s="1111"/>
    </row>
    <row r="5" spans="1:25" ht="45.75" customHeight="1" thickBot="1">
      <c r="A5" s="302"/>
      <c r="B5" s="303"/>
      <c r="C5" s="303"/>
      <c r="D5" s="320"/>
      <c r="E5" s="354" t="s">
        <v>65</v>
      </c>
      <c r="F5" s="355" t="s">
        <v>228</v>
      </c>
      <c r="G5" s="355" t="s">
        <v>233</v>
      </c>
      <c r="H5" s="355" t="s">
        <v>235</v>
      </c>
      <c r="I5" s="355" t="s">
        <v>450</v>
      </c>
      <c r="J5" s="355" t="s">
        <v>453</v>
      </c>
      <c r="K5" s="356" t="s">
        <v>445</v>
      </c>
      <c r="L5" s="354" t="s">
        <v>65</v>
      </c>
      <c r="M5" s="355" t="s">
        <v>228</v>
      </c>
      <c r="N5" s="355" t="s">
        <v>233</v>
      </c>
      <c r="O5" s="355" t="s">
        <v>235</v>
      </c>
      <c r="P5" s="355" t="s">
        <v>450</v>
      </c>
      <c r="Q5" s="355" t="s">
        <v>455</v>
      </c>
      <c r="R5" s="356" t="s">
        <v>445</v>
      </c>
      <c r="S5" s="354" t="s">
        <v>65</v>
      </c>
      <c r="T5" s="355" t="s">
        <v>228</v>
      </c>
      <c r="U5" s="355" t="s">
        <v>233</v>
      </c>
      <c r="V5" s="355" t="s">
        <v>235</v>
      </c>
      <c r="W5" s="355" t="s">
        <v>450</v>
      </c>
      <c r="X5" s="355" t="s">
        <v>455</v>
      </c>
      <c r="Y5" s="356" t="s">
        <v>445</v>
      </c>
    </row>
    <row r="6" spans="1:25" s="1009" customFormat="1" ht="21.75" customHeight="1" thickBot="1">
      <c r="A6" s="96"/>
      <c r="B6" s="1108"/>
      <c r="C6" s="1108"/>
      <c r="D6" s="1108"/>
      <c r="E6" s="1006"/>
      <c r="F6" s="1007"/>
      <c r="G6" s="1007"/>
      <c r="H6" s="1007"/>
      <c r="I6" s="1007"/>
      <c r="J6" s="1007"/>
      <c r="K6" s="1008"/>
      <c r="L6" s="1006"/>
      <c r="M6" s="1007"/>
      <c r="N6" s="1007"/>
      <c r="O6" s="1007"/>
      <c r="P6" s="1007"/>
      <c r="Q6" s="1007"/>
      <c r="R6" s="1008"/>
      <c r="S6" s="1006"/>
      <c r="T6" s="1007"/>
      <c r="U6" s="1007"/>
      <c r="V6" s="1007"/>
      <c r="W6" s="1007"/>
      <c r="X6" s="1007"/>
      <c r="Y6" s="1008"/>
    </row>
    <row r="7" spans="1:25" s="1009" customFormat="1" ht="21.75" customHeight="1" thickBot="1">
      <c r="A7" s="96" t="s">
        <v>27</v>
      </c>
      <c r="B7" s="1108" t="s">
        <v>286</v>
      </c>
      <c r="C7" s="1108"/>
      <c r="D7" s="1108"/>
      <c r="E7" s="1006">
        <f aca="true" t="shared" si="0" ref="E7:J7">E8+E13+E16+E17+E20</f>
        <v>171760000</v>
      </c>
      <c r="F7" s="1007">
        <f t="shared" si="0"/>
        <v>171760000</v>
      </c>
      <c r="G7" s="1007">
        <f t="shared" si="0"/>
        <v>174481890</v>
      </c>
      <c r="H7" s="1007">
        <f t="shared" si="0"/>
        <v>174481890</v>
      </c>
      <c r="I7" s="1007">
        <f t="shared" si="0"/>
        <v>174992890</v>
      </c>
      <c r="J7" s="1007">
        <f t="shared" si="0"/>
        <v>189188503</v>
      </c>
      <c r="K7" s="1010">
        <f>J7/I7</f>
        <v>1.0811210844052006</v>
      </c>
      <c r="L7" s="1006">
        <f aca="true" t="shared" si="1" ref="L7:R7">L8+L13+L16+L17+L20</f>
        <v>150814518</v>
      </c>
      <c r="M7" s="1007">
        <f>M8+M13+M16+M17+M20</f>
        <v>148824015</v>
      </c>
      <c r="N7" s="1007">
        <f>N8+N13+N16+N17+N20</f>
        <v>151701162</v>
      </c>
      <c r="O7" s="1007">
        <f>O8+O13+O16+O17+O20</f>
        <v>151701159</v>
      </c>
      <c r="P7" s="1007">
        <f>P8+P13+P16+P17+P20</f>
        <v>152142156</v>
      </c>
      <c r="Q7" s="1007">
        <f t="shared" si="1"/>
        <v>169418872</v>
      </c>
      <c r="R7" s="1008">
        <f t="shared" si="1"/>
        <v>100000002.9969271</v>
      </c>
      <c r="S7" s="1006">
        <f aca="true" t="shared" si="2" ref="S7:X7">S8+S13+S16</f>
        <v>20945482</v>
      </c>
      <c r="T7" s="1007">
        <f t="shared" si="2"/>
        <v>22935985</v>
      </c>
      <c r="U7" s="1007">
        <f t="shared" si="2"/>
        <v>22780728</v>
      </c>
      <c r="V7" s="1007">
        <f t="shared" si="2"/>
        <v>22780731</v>
      </c>
      <c r="W7" s="1007">
        <f t="shared" si="2"/>
        <v>22850734</v>
      </c>
      <c r="X7" s="1007">
        <f t="shared" si="2"/>
        <v>19769631</v>
      </c>
      <c r="Y7" s="1010">
        <f>W7/V7</f>
        <v>1.003072904025775</v>
      </c>
    </row>
    <row r="8" spans="1:25" ht="21.75" customHeight="1">
      <c r="A8" s="1011"/>
      <c r="B8" s="241" t="s">
        <v>36</v>
      </c>
      <c r="C8" s="1126" t="s">
        <v>287</v>
      </c>
      <c r="D8" s="1126"/>
      <c r="E8" s="1012">
        <f aca="true" t="shared" si="3" ref="E8:J8">SUM(E9:E12)</f>
        <v>17500000</v>
      </c>
      <c r="F8" s="1013">
        <f t="shared" si="3"/>
        <v>17500000</v>
      </c>
      <c r="G8" s="1013">
        <f t="shared" si="3"/>
        <v>17500000</v>
      </c>
      <c r="H8" s="1013">
        <f t="shared" si="3"/>
        <v>17500000</v>
      </c>
      <c r="I8" s="1013">
        <f t="shared" si="3"/>
        <v>17500000</v>
      </c>
      <c r="J8" s="1012">
        <f t="shared" si="3"/>
        <v>19179992</v>
      </c>
      <c r="K8" s="1014">
        <f>J8/I8</f>
        <v>1.095999542857143</v>
      </c>
      <c r="L8" s="1012">
        <f aca="true" t="shared" si="4" ref="L8:R8">SUM(L9:L12)</f>
        <v>17500000</v>
      </c>
      <c r="M8" s="1013">
        <f t="shared" si="4"/>
        <v>17500000</v>
      </c>
      <c r="N8" s="1013">
        <f>SUM(N9:N12)</f>
        <v>17500000</v>
      </c>
      <c r="O8" s="1013">
        <f>SUM(O9:O12)</f>
        <v>17500000</v>
      </c>
      <c r="P8" s="1013">
        <f>SUM(P9:P12)</f>
        <v>17500000</v>
      </c>
      <c r="Q8" s="1013">
        <f t="shared" si="4"/>
        <v>19179992</v>
      </c>
      <c r="R8" s="1015">
        <f t="shared" si="4"/>
        <v>0</v>
      </c>
      <c r="S8" s="1012">
        <v>0</v>
      </c>
      <c r="T8" s="1013">
        <v>0</v>
      </c>
      <c r="U8" s="1013">
        <v>0</v>
      </c>
      <c r="V8" s="1013">
        <v>0</v>
      </c>
      <c r="W8" s="1013">
        <v>0</v>
      </c>
      <c r="X8" s="1013"/>
      <c r="Y8" s="1014"/>
    </row>
    <row r="9" spans="1:25" ht="21.75" customHeight="1">
      <c r="A9" s="1016"/>
      <c r="B9" s="89"/>
      <c r="C9" s="89" t="s">
        <v>292</v>
      </c>
      <c r="D9" s="321" t="s">
        <v>288</v>
      </c>
      <c r="E9" s="1017">
        <v>0</v>
      </c>
      <c r="F9" s="1018">
        <v>0</v>
      </c>
      <c r="G9" s="1018">
        <v>0</v>
      </c>
      <c r="H9" s="1018">
        <v>0</v>
      </c>
      <c r="I9" s="1018">
        <v>0</v>
      </c>
      <c r="J9" s="1018">
        <v>0</v>
      </c>
      <c r="K9" s="1019"/>
      <c r="L9" s="1017">
        <v>0</v>
      </c>
      <c r="M9" s="1018">
        <v>0</v>
      </c>
      <c r="N9" s="1018">
        <v>0</v>
      </c>
      <c r="O9" s="1018">
        <v>0</v>
      </c>
      <c r="P9" s="1018">
        <v>0</v>
      </c>
      <c r="Q9" s="1018">
        <v>0</v>
      </c>
      <c r="R9" s="1020">
        <v>0</v>
      </c>
      <c r="S9" s="1017">
        <v>0</v>
      </c>
      <c r="T9" s="1018">
        <v>0</v>
      </c>
      <c r="U9" s="1018">
        <v>0</v>
      </c>
      <c r="V9" s="1018">
        <v>0</v>
      </c>
      <c r="W9" s="1018">
        <v>0</v>
      </c>
      <c r="X9" s="1018"/>
      <c r="Y9" s="733"/>
    </row>
    <row r="10" spans="1:25" ht="21.75" customHeight="1" thickBot="1">
      <c r="A10" s="1016"/>
      <c r="B10" s="89"/>
      <c r="C10" s="89" t="s">
        <v>293</v>
      </c>
      <c r="D10" s="321" t="s">
        <v>273</v>
      </c>
      <c r="E10" s="1017">
        <v>0</v>
      </c>
      <c r="F10" s="1018">
        <v>0</v>
      </c>
      <c r="G10" s="1018">
        <v>0</v>
      </c>
      <c r="H10" s="1018">
        <v>0</v>
      </c>
      <c r="I10" s="1018">
        <v>0</v>
      </c>
      <c r="J10" s="1018">
        <v>0</v>
      </c>
      <c r="K10" s="1019"/>
      <c r="L10" s="1017">
        <v>0</v>
      </c>
      <c r="M10" s="1018">
        <v>0</v>
      </c>
      <c r="N10" s="1018">
        <v>0</v>
      </c>
      <c r="O10" s="1018">
        <v>0</v>
      </c>
      <c r="P10" s="1018">
        <v>0</v>
      </c>
      <c r="Q10" s="1018">
        <v>0</v>
      </c>
      <c r="R10" s="1020">
        <v>0</v>
      </c>
      <c r="S10" s="1017">
        <v>0</v>
      </c>
      <c r="T10" s="1018">
        <v>0</v>
      </c>
      <c r="U10" s="1018">
        <v>0</v>
      </c>
      <c r="V10" s="1018">
        <v>0</v>
      </c>
      <c r="W10" s="1018">
        <v>0</v>
      </c>
      <c r="X10" s="1018"/>
      <c r="Y10" s="733"/>
    </row>
    <row r="11" spans="1:25" ht="21.75" customHeight="1">
      <c r="A11" s="1016"/>
      <c r="B11" s="89"/>
      <c r="C11" s="89" t="s">
        <v>294</v>
      </c>
      <c r="D11" s="321" t="s">
        <v>272</v>
      </c>
      <c r="E11" s="1017">
        <v>17500000</v>
      </c>
      <c r="F11" s="1018">
        <v>17500000</v>
      </c>
      <c r="G11" s="1018">
        <v>17500000</v>
      </c>
      <c r="H11" s="1018">
        <v>17500000</v>
      </c>
      <c r="I11" s="1018">
        <v>17500000</v>
      </c>
      <c r="J11" s="1013">
        <v>19179992</v>
      </c>
      <c r="K11" s="1019"/>
      <c r="L11" s="1017">
        <v>17500000</v>
      </c>
      <c r="M11" s="1018">
        <v>17500000</v>
      </c>
      <c r="N11" s="1018">
        <f>G11-U11</f>
        <v>17500000</v>
      </c>
      <c r="O11" s="1018">
        <f>H11-V11</f>
        <v>17500000</v>
      </c>
      <c r="P11" s="1018">
        <f>I11-W11</f>
        <v>17500000</v>
      </c>
      <c r="Q11" s="958">
        <f>J11</f>
        <v>19179992</v>
      </c>
      <c r="R11" s="980">
        <f>K11</f>
        <v>0</v>
      </c>
      <c r="S11" s="1017">
        <v>0</v>
      </c>
      <c r="T11" s="1018">
        <v>0</v>
      </c>
      <c r="U11" s="1018">
        <v>0</v>
      </c>
      <c r="V11" s="1018">
        <v>0</v>
      </c>
      <c r="W11" s="1018">
        <v>0</v>
      </c>
      <c r="X11" s="1018"/>
      <c r="Y11" s="733"/>
    </row>
    <row r="12" spans="1:35" ht="21.75" customHeight="1" hidden="1">
      <c r="A12" s="1016"/>
      <c r="B12" s="89"/>
      <c r="C12" s="89"/>
      <c r="D12" s="321"/>
      <c r="E12" s="1021"/>
      <c r="F12" s="1022"/>
      <c r="G12" s="1022"/>
      <c r="H12" s="1022"/>
      <c r="I12" s="1022"/>
      <c r="J12" s="1022"/>
      <c r="K12" s="733" t="e">
        <f>J12/I12</f>
        <v>#DIV/0!</v>
      </c>
      <c r="L12" s="1021"/>
      <c r="M12" s="1022"/>
      <c r="N12" s="1022"/>
      <c r="O12" s="1022"/>
      <c r="P12" s="1022"/>
      <c r="Q12" s="1022"/>
      <c r="R12" s="1023"/>
      <c r="S12" s="1021"/>
      <c r="T12" s="1022"/>
      <c r="U12" s="1022"/>
      <c r="V12" s="1022"/>
      <c r="W12" s="1022"/>
      <c r="X12" s="1022"/>
      <c r="Y12" s="733" t="e">
        <f>W12/V12</f>
        <v>#DIV/0!</v>
      </c>
      <c r="AI12" s="999" t="s">
        <v>246</v>
      </c>
    </row>
    <row r="13" spans="1:25" ht="21.75" customHeight="1">
      <c r="A13" s="1016"/>
      <c r="B13" s="89" t="s">
        <v>37</v>
      </c>
      <c r="C13" s="1182" t="s">
        <v>289</v>
      </c>
      <c r="D13" s="1182"/>
      <c r="E13" s="1021">
        <f aca="true" t="shared" si="5" ref="E13:J13">SUM(E14:E15)</f>
        <v>140000000</v>
      </c>
      <c r="F13" s="1022">
        <f t="shared" si="5"/>
        <v>140000000</v>
      </c>
      <c r="G13" s="1022">
        <f t="shared" si="5"/>
        <v>140000000</v>
      </c>
      <c r="H13" s="1022">
        <f t="shared" si="5"/>
        <v>140000000</v>
      </c>
      <c r="I13" s="1022">
        <f t="shared" si="5"/>
        <v>140000000</v>
      </c>
      <c r="J13" s="1022">
        <f t="shared" si="5"/>
        <v>152448775</v>
      </c>
      <c r="K13" s="733">
        <f>J13/I13</f>
        <v>1.0889198214285714</v>
      </c>
      <c r="L13" s="1021">
        <f aca="true" t="shared" si="6" ref="L13:X13">SUM(L14:L15)</f>
        <v>119054518</v>
      </c>
      <c r="M13" s="1022">
        <f t="shared" si="6"/>
        <v>117064015</v>
      </c>
      <c r="N13" s="1022">
        <f t="shared" si="6"/>
        <v>117219272</v>
      </c>
      <c r="O13" s="1022">
        <f t="shared" si="6"/>
        <v>117219269</v>
      </c>
      <c r="P13" s="1022">
        <f t="shared" si="6"/>
        <v>117149266</v>
      </c>
      <c r="Q13" s="1022">
        <f t="shared" si="6"/>
        <v>132679144</v>
      </c>
      <c r="R13" s="1023">
        <f t="shared" si="6"/>
        <v>100000000.9969271</v>
      </c>
      <c r="S13" s="1021">
        <f t="shared" si="6"/>
        <v>20945482</v>
      </c>
      <c r="T13" s="1022">
        <f t="shared" si="6"/>
        <v>22935985</v>
      </c>
      <c r="U13" s="1022">
        <f t="shared" si="6"/>
        <v>22780728</v>
      </c>
      <c r="V13" s="1022">
        <f t="shared" si="6"/>
        <v>22780731</v>
      </c>
      <c r="W13" s="1022">
        <f t="shared" si="6"/>
        <v>22850734</v>
      </c>
      <c r="X13" s="1022">
        <f t="shared" si="6"/>
        <v>19769631</v>
      </c>
      <c r="Y13" s="733">
        <f>W13/V13</f>
        <v>1.003072904025775</v>
      </c>
    </row>
    <row r="14" spans="1:26" ht="21.75" customHeight="1">
      <c r="A14" s="1016"/>
      <c r="B14" s="89"/>
      <c r="C14" s="89" t="s">
        <v>290</v>
      </c>
      <c r="D14" s="1024" t="s">
        <v>525</v>
      </c>
      <c r="E14" s="1017">
        <v>140000000</v>
      </c>
      <c r="F14" s="1018">
        <v>140000000</v>
      </c>
      <c r="G14" s="1018">
        <v>140000000</v>
      </c>
      <c r="H14" s="1018">
        <v>140000000</v>
      </c>
      <c r="I14" s="1018">
        <v>140000000</v>
      </c>
      <c r="J14" s="1018">
        <v>152448775</v>
      </c>
      <c r="K14" s="1019"/>
      <c r="L14" s="1017">
        <f aca="true" t="shared" si="7" ref="L14:Q14">E14-S14</f>
        <v>119054518</v>
      </c>
      <c r="M14" s="1018">
        <f t="shared" si="7"/>
        <v>117064015</v>
      </c>
      <c r="N14" s="1018">
        <f t="shared" si="7"/>
        <v>117219272</v>
      </c>
      <c r="O14" s="1018">
        <f t="shared" si="7"/>
        <v>117219269</v>
      </c>
      <c r="P14" s="1018">
        <f t="shared" si="7"/>
        <v>117149266</v>
      </c>
      <c r="Q14" s="1018">
        <f t="shared" si="7"/>
        <v>132679144</v>
      </c>
      <c r="R14" s="1020">
        <f>100000000-Y14</f>
        <v>99999998.9969271</v>
      </c>
      <c r="S14" s="1017">
        <v>20945482</v>
      </c>
      <c r="T14" s="1018">
        <f>'4.sz.m.ÖNK kiadás'!T39</f>
        <v>22935985</v>
      </c>
      <c r="U14" s="1018">
        <f>'4.sz.m.ÖNK kiadás'!U39</f>
        <v>22780728</v>
      </c>
      <c r="V14" s="1018">
        <f>'4.sz.m.ÖNK kiadás'!V39</f>
        <v>22780731</v>
      </c>
      <c r="W14" s="1018">
        <f>'4.sz.m.ÖNK kiadás'!W39</f>
        <v>22850734</v>
      </c>
      <c r="X14" s="1018">
        <v>19769631</v>
      </c>
      <c r="Y14" s="733">
        <f>W14/V14</f>
        <v>1.003072904025775</v>
      </c>
      <c r="Z14" s="315"/>
    </row>
    <row r="15" spans="1:25" ht="21.75" customHeight="1">
      <c r="A15" s="1016"/>
      <c r="B15" s="89"/>
      <c r="C15" s="89" t="s">
        <v>291</v>
      </c>
      <c r="D15" s="1024" t="s">
        <v>296</v>
      </c>
      <c r="E15" s="1017">
        <v>0</v>
      </c>
      <c r="F15" s="1018">
        <v>0</v>
      </c>
      <c r="G15" s="1018">
        <v>0</v>
      </c>
      <c r="H15" s="1018">
        <v>0</v>
      </c>
      <c r="I15" s="1018">
        <v>0</v>
      </c>
      <c r="J15" s="1018">
        <v>0</v>
      </c>
      <c r="K15" s="1019"/>
      <c r="L15" s="1017">
        <v>0</v>
      </c>
      <c r="M15" s="1018">
        <v>0</v>
      </c>
      <c r="N15" s="1018">
        <v>0</v>
      </c>
      <c r="O15" s="1018">
        <v>0</v>
      </c>
      <c r="P15" s="1018">
        <v>0</v>
      </c>
      <c r="Q15" s="1018">
        <v>0</v>
      </c>
      <c r="R15" s="1020">
        <v>2</v>
      </c>
      <c r="S15" s="1017">
        <v>0</v>
      </c>
      <c r="T15" s="1018">
        <v>0</v>
      </c>
      <c r="U15" s="1018">
        <v>0</v>
      </c>
      <c r="V15" s="1018">
        <v>0</v>
      </c>
      <c r="W15" s="1018">
        <v>0</v>
      </c>
      <c r="X15" s="1018"/>
      <c r="Y15" s="733"/>
    </row>
    <row r="16" spans="1:25" ht="21.75" customHeight="1">
      <c r="A16" s="1016"/>
      <c r="B16" s="89" t="s">
        <v>113</v>
      </c>
      <c r="C16" s="1182" t="s">
        <v>297</v>
      </c>
      <c r="D16" s="1182"/>
      <c r="E16" s="1017">
        <v>13200000</v>
      </c>
      <c r="F16" s="1018">
        <v>13200000</v>
      </c>
      <c r="G16" s="1018">
        <v>13200000</v>
      </c>
      <c r="H16" s="1018">
        <v>13200000</v>
      </c>
      <c r="I16" s="1018">
        <v>13200000</v>
      </c>
      <c r="J16" s="1018">
        <v>14013516</v>
      </c>
      <c r="K16" s="1019"/>
      <c r="L16" s="1017">
        <v>13200000</v>
      </c>
      <c r="M16" s="1018">
        <v>13200000</v>
      </c>
      <c r="N16" s="1018">
        <f>G16-U16</f>
        <v>13200000</v>
      </c>
      <c r="O16" s="1018">
        <f>H16-V16</f>
        <v>13200000</v>
      </c>
      <c r="P16" s="1018">
        <f>I16-W16</f>
        <v>13200000</v>
      </c>
      <c r="Q16" s="958">
        <f>J16</f>
        <v>14013516</v>
      </c>
      <c r="R16" s="980">
        <f>K16</f>
        <v>0</v>
      </c>
      <c r="S16" s="1017">
        <v>0</v>
      </c>
      <c r="T16" s="1018">
        <v>0</v>
      </c>
      <c r="U16" s="1018">
        <v>0</v>
      </c>
      <c r="V16" s="1018">
        <v>0</v>
      </c>
      <c r="W16" s="1018">
        <v>0</v>
      </c>
      <c r="X16" s="1018"/>
      <c r="Y16" s="733"/>
    </row>
    <row r="17" spans="1:25" ht="21.75" customHeight="1">
      <c r="A17" s="1016"/>
      <c r="B17" s="89" t="s">
        <v>49</v>
      </c>
      <c r="C17" s="1183" t="s">
        <v>298</v>
      </c>
      <c r="D17" s="1183"/>
      <c r="E17" s="1021">
        <f>SUM(E18:E19)</f>
        <v>0</v>
      </c>
      <c r="F17" s="1022">
        <f>SUM(F18:F19)</f>
        <v>0</v>
      </c>
      <c r="G17" s="1022">
        <f>SUM(G18:G19)</f>
        <v>0</v>
      </c>
      <c r="H17" s="1022">
        <f>SUM(H18:H19)</f>
        <v>0</v>
      </c>
      <c r="I17" s="1022">
        <f>SUM(I18:I19)</f>
        <v>0</v>
      </c>
      <c r="J17" s="1022">
        <v>0</v>
      </c>
      <c r="K17" s="733" t="e">
        <f>J17/I17</f>
        <v>#DIV/0!</v>
      </c>
      <c r="L17" s="1021">
        <f>SUM(L18:L19)</f>
        <v>0</v>
      </c>
      <c r="M17" s="1022">
        <f>SUM(M18:M19)</f>
        <v>0</v>
      </c>
      <c r="N17" s="1022">
        <f>SUM(N18:N19)</f>
        <v>0</v>
      </c>
      <c r="O17" s="1022">
        <f>SUM(O18:O19)</f>
        <v>0</v>
      </c>
      <c r="P17" s="1022">
        <f>SUM(P18:P19)</f>
        <v>0</v>
      </c>
      <c r="Q17" s="1022">
        <v>0</v>
      </c>
      <c r="R17" s="1023">
        <f>SUM(R18:R19)</f>
        <v>2</v>
      </c>
      <c r="S17" s="1021">
        <v>0</v>
      </c>
      <c r="T17" s="1022">
        <v>0</v>
      </c>
      <c r="U17" s="1022">
        <v>0</v>
      </c>
      <c r="V17" s="1022">
        <v>0</v>
      </c>
      <c r="W17" s="1022">
        <v>0</v>
      </c>
      <c r="X17" s="1022"/>
      <c r="Y17" s="733"/>
    </row>
    <row r="18" spans="1:25" ht="21.75" customHeight="1">
      <c r="A18" s="1016"/>
      <c r="B18" s="89"/>
      <c r="C18" s="89" t="s">
        <v>299</v>
      </c>
      <c r="D18" s="1024" t="s">
        <v>301</v>
      </c>
      <c r="E18" s="1017">
        <v>0</v>
      </c>
      <c r="F18" s="1018">
        <v>0</v>
      </c>
      <c r="G18" s="1018">
        <v>0</v>
      </c>
      <c r="H18" s="1018">
        <v>0</v>
      </c>
      <c r="I18" s="1018">
        <v>0</v>
      </c>
      <c r="J18" s="1018">
        <v>0</v>
      </c>
      <c r="K18" s="1019"/>
      <c r="L18" s="1017">
        <v>0</v>
      </c>
      <c r="M18" s="1018">
        <v>0</v>
      </c>
      <c r="N18" s="1018">
        <v>0</v>
      </c>
      <c r="O18" s="1018">
        <v>0</v>
      </c>
      <c r="P18" s="1018">
        <v>0</v>
      </c>
      <c r="Q18" s="1018">
        <v>0</v>
      </c>
      <c r="R18" s="1020">
        <v>2</v>
      </c>
      <c r="S18" s="1017">
        <v>0</v>
      </c>
      <c r="T18" s="1018">
        <v>0</v>
      </c>
      <c r="U18" s="1018">
        <v>0</v>
      </c>
      <c r="V18" s="1018">
        <v>0</v>
      </c>
      <c r="W18" s="1018">
        <v>0</v>
      </c>
      <c r="X18" s="1018"/>
      <c r="Y18" s="733"/>
    </row>
    <row r="19" spans="1:25" ht="21.75" customHeight="1" hidden="1">
      <c r="A19" s="1016"/>
      <c r="B19" s="89"/>
      <c r="C19" s="89" t="s">
        <v>300</v>
      </c>
      <c r="D19" s="1024" t="s">
        <v>274</v>
      </c>
      <c r="E19" s="1017"/>
      <c r="F19" s="1018"/>
      <c r="G19" s="1018"/>
      <c r="H19" s="1018"/>
      <c r="I19" s="1018"/>
      <c r="J19" s="1018"/>
      <c r="K19" s="1019"/>
      <c r="L19" s="1017"/>
      <c r="M19" s="1018"/>
      <c r="N19" s="1018"/>
      <c r="O19" s="1018"/>
      <c r="P19" s="1018"/>
      <c r="Q19" s="958">
        <f>J19</f>
        <v>0</v>
      </c>
      <c r="R19" s="980">
        <f>K19</f>
        <v>0</v>
      </c>
      <c r="S19" s="1017">
        <v>0</v>
      </c>
      <c r="T19" s="1018">
        <v>0</v>
      </c>
      <c r="U19" s="1018">
        <v>0</v>
      </c>
      <c r="V19" s="1018">
        <v>0</v>
      </c>
      <c r="W19" s="1018">
        <v>0</v>
      </c>
      <c r="X19" s="1018"/>
      <c r="Y19" s="733"/>
    </row>
    <row r="20" spans="1:25" ht="21.75" customHeight="1" thickBot="1">
      <c r="A20" s="1025"/>
      <c r="B20" s="603" t="s">
        <v>50</v>
      </c>
      <c r="C20" s="1185" t="s">
        <v>302</v>
      </c>
      <c r="D20" s="1185"/>
      <c r="E20" s="1026">
        <f>810000+250000</f>
        <v>1060000</v>
      </c>
      <c r="F20" s="1027">
        <f>810000+250000</f>
        <v>1060000</v>
      </c>
      <c r="G20" s="1027">
        <f>810000+250000+2721890</f>
        <v>3781890</v>
      </c>
      <c r="H20" s="1027">
        <f>810000+250000+2721890</f>
        <v>3781890</v>
      </c>
      <c r="I20" s="1027">
        <f>810000+250000+2721890+511000</f>
        <v>4292890</v>
      </c>
      <c r="J20" s="1027">
        <v>3546220</v>
      </c>
      <c r="K20" s="1028"/>
      <c r="L20" s="1026">
        <f>810000+250000</f>
        <v>1060000</v>
      </c>
      <c r="M20" s="1027">
        <f>810000+250000</f>
        <v>1060000</v>
      </c>
      <c r="N20" s="1018">
        <f>G20-U20</f>
        <v>3781890</v>
      </c>
      <c r="O20" s="1018">
        <f>H20-V20</f>
        <v>3781890</v>
      </c>
      <c r="P20" s="1018">
        <f>I20-W20</f>
        <v>4292890</v>
      </c>
      <c r="Q20" s="958">
        <f>J20</f>
        <v>3546220</v>
      </c>
      <c r="R20" s="980">
        <f>K20</f>
        <v>0</v>
      </c>
      <c r="S20" s="1026">
        <v>0</v>
      </c>
      <c r="T20" s="1027">
        <v>0</v>
      </c>
      <c r="U20" s="1027">
        <v>0</v>
      </c>
      <c r="V20" s="1027">
        <v>0</v>
      </c>
      <c r="W20" s="1027">
        <v>0</v>
      </c>
      <c r="X20" s="1027"/>
      <c r="Y20" s="734"/>
    </row>
    <row r="21" spans="1:26" ht="21.75" customHeight="1" thickBot="1">
      <c r="A21" s="96" t="s">
        <v>303</v>
      </c>
      <c r="B21" s="1108" t="s">
        <v>304</v>
      </c>
      <c r="C21" s="1108"/>
      <c r="D21" s="1108"/>
      <c r="E21" s="1006">
        <f aca="true" t="shared" si="8" ref="E21:J21">E22+E23+E24+E28+E29+E30+E31</f>
        <v>19072554</v>
      </c>
      <c r="F21" s="1007">
        <f t="shared" si="8"/>
        <v>19072554</v>
      </c>
      <c r="G21" s="1007">
        <f t="shared" si="8"/>
        <v>21176829</v>
      </c>
      <c r="H21" s="1007">
        <f t="shared" si="8"/>
        <v>21176829</v>
      </c>
      <c r="I21" s="1007">
        <f t="shared" si="8"/>
        <v>22884092</v>
      </c>
      <c r="J21" s="1007">
        <f t="shared" si="8"/>
        <v>21496968</v>
      </c>
      <c r="K21" s="1010">
        <f>J21/I21</f>
        <v>0.939384791845794</v>
      </c>
      <c r="L21" s="1006">
        <f aca="true" t="shared" si="9" ref="L21:R21">L22+L23+L24+L28+L29+L30+L31</f>
        <v>19072554</v>
      </c>
      <c r="M21" s="1007">
        <f t="shared" si="9"/>
        <v>19072554</v>
      </c>
      <c r="N21" s="1007">
        <f>N22+N23+N24+N28+N29+N30+N31</f>
        <v>21176829</v>
      </c>
      <c r="O21" s="1007">
        <f>O22+O23+O24+O28+O29+O30+O31</f>
        <v>21176829</v>
      </c>
      <c r="P21" s="1007">
        <f>P22+P23+P24+P28+P29+P30+P31</f>
        <v>22884092</v>
      </c>
      <c r="Q21" s="1007">
        <f t="shared" si="9"/>
        <v>21115968</v>
      </c>
      <c r="R21" s="1008">
        <f t="shared" si="9"/>
        <v>4</v>
      </c>
      <c r="S21" s="1006">
        <f>SUM(S22:S31)</f>
        <v>0</v>
      </c>
      <c r="T21" s="1007">
        <f>SUM(T22:T31)</f>
        <v>0</v>
      </c>
      <c r="U21" s="1007">
        <f>SUM(U22:U31)</f>
        <v>0</v>
      </c>
      <c r="V21" s="1007">
        <f>SUM(V22:V31)</f>
        <v>0</v>
      </c>
      <c r="W21" s="1007">
        <f>SUM(W22:W31)</f>
        <v>0</v>
      </c>
      <c r="X21" s="1007">
        <f>X22+X23+X24+X28+X29+X30+X31</f>
        <v>381000</v>
      </c>
      <c r="Y21" s="1010" t="e">
        <f>W21/V21</f>
        <v>#DIV/0!</v>
      </c>
      <c r="Z21" s="315"/>
    </row>
    <row r="22" spans="1:25" ht="21.75" customHeight="1">
      <c r="A22" s="1029"/>
      <c r="B22" s="95" t="s">
        <v>39</v>
      </c>
      <c r="C22" s="1122" t="s">
        <v>305</v>
      </c>
      <c r="D22" s="1122"/>
      <c r="E22" s="1030">
        <v>470000</v>
      </c>
      <c r="F22" s="1031">
        <v>470000</v>
      </c>
      <c r="G22" s="1031">
        <f>470000+1102</f>
        <v>471102</v>
      </c>
      <c r="H22" s="1031">
        <f>470000+1102</f>
        <v>471102</v>
      </c>
      <c r="I22" s="1031">
        <f>470000+1102+100660+182886+58000</f>
        <v>812648</v>
      </c>
      <c r="J22" s="1031">
        <v>1318240</v>
      </c>
      <c r="K22" s="1019"/>
      <c r="L22" s="1030">
        <v>470000</v>
      </c>
      <c r="M22" s="1031">
        <v>470000</v>
      </c>
      <c r="N22" s="1018">
        <f aca="true" t="shared" si="10" ref="N22:P23">G22-U22</f>
        <v>471102</v>
      </c>
      <c r="O22" s="1018">
        <f t="shared" si="10"/>
        <v>471102</v>
      </c>
      <c r="P22" s="1018">
        <f t="shared" si="10"/>
        <v>812648</v>
      </c>
      <c r="Q22" s="958">
        <f>J22-X22</f>
        <v>1018240</v>
      </c>
      <c r="R22" s="980">
        <f>K22</f>
        <v>0</v>
      </c>
      <c r="S22" s="1030">
        <v>0</v>
      </c>
      <c r="T22" s="1031">
        <v>0</v>
      </c>
      <c r="U22" s="1031">
        <v>0</v>
      </c>
      <c r="V22" s="1031">
        <v>0</v>
      </c>
      <c r="W22" s="1031">
        <v>0</v>
      </c>
      <c r="X22" s="1031">
        <v>300000</v>
      </c>
      <c r="Y22" s="735"/>
    </row>
    <row r="23" spans="1:25" ht="21.75" customHeight="1">
      <c r="A23" s="1016"/>
      <c r="B23" s="89" t="s">
        <v>40</v>
      </c>
      <c r="C23" s="1114" t="s">
        <v>337</v>
      </c>
      <c r="D23" s="1114"/>
      <c r="E23" s="959">
        <v>5783000</v>
      </c>
      <c r="F23" s="960">
        <v>5783000</v>
      </c>
      <c r="G23" s="960">
        <v>5783000</v>
      </c>
      <c r="H23" s="960">
        <v>5783000</v>
      </c>
      <c r="I23" s="960">
        <v>5783000</v>
      </c>
      <c r="J23" s="960">
        <v>3014412</v>
      </c>
      <c r="K23" s="1019"/>
      <c r="L23" s="959">
        <v>5783000</v>
      </c>
      <c r="M23" s="960">
        <v>5783000</v>
      </c>
      <c r="N23" s="1018">
        <f t="shared" si="10"/>
        <v>5783000</v>
      </c>
      <c r="O23" s="1018">
        <f t="shared" si="10"/>
        <v>5783000</v>
      </c>
      <c r="P23" s="1018">
        <f t="shared" si="10"/>
        <v>5783000</v>
      </c>
      <c r="Q23" s="958">
        <f>J23</f>
        <v>3014412</v>
      </c>
      <c r="R23" s="980">
        <f>K23</f>
        <v>0</v>
      </c>
      <c r="S23" s="959">
        <v>0</v>
      </c>
      <c r="T23" s="960">
        <v>0</v>
      </c>
      <c r="U23" s="960">
        <v>0</v>
      </c>
      <c r="V23" s="960">
        <v>0</v>
      </c>
      <c r="W23" s="960">
        <v>0</v>
      </c>
      <c r="X23" s="960"/>
      <c r="Y23" s="720"/>
    </row>
    <row r="24" spans="1:25" ht="21.75" customHeight="1">
      <c r="A24" s="1016"/>
      <c r="B24" s="89" t="s">
        <v>41</v>
      </c>
      <c r="C24" s="1114" t="s">
        <v>307</v>
      </c>
      <c r="D24" s="1114"/>
      <c r="E24" s="360">
        <f aca="true" t="shared" si="11" ref="E24:J24">SUM(E25:E27)</f>
        <v>10263812</v>
      </c>
      <c r="F24" s="283">
        <f t="shared" si="11"/>
        <v>10263812</v>
      </c>
      <c r="G24" s="283">
        <f t="shared" si="11"/>
        <v>10564170</v>
      </c>
      <c r="H24" s="283">
        <f t="shared" si="11"/>
        <v>10564170</v>
      </c>
      <c r="I24" s="283">
        <f t="shared" si="11"/>
        <v>10964951</v>
      </c>
      <c r="J24" s="283">
        <f t="shared" si="11"/>
        <v>11986886</v>
      </c>
      <c r="K24" s="733">
        <f>J24/I24</f>
        <v>1.0932001428916553</v>
      </c>
      <c r="L24" s="360">
        <f aca="true" t="shared" si="12" ref="L24:R24">SUM(L25:L27)</f>
        <v>10263812</v>
      </c>
      <c r="M24" s="283">
        <f t="shared" si="12"/>
        <v>10263812</v>
      </c>
      <c r="N24" s="283">
        <f>SUM(N25:N27)</f>
        <v>10564170</v>
      </c>
      <c r="O24" s="283">
        <f>SUM(O25:O27)</f>
        <v>10564170</v>
      </c>
      <c r="P24" s="283">
        <f>SUM(P25:P27)</f>
        <v>10964951</v>
      </c>
      <c r="Q24" s="283">
        <f t="shared" si="12"/>
        <v>11986886</v>
      </c>
      <c r="R24" s="981">
        <f t="shared" si="12"/>
        <v>2</v>
      </c>
      <c r="S24" s="360">
        <v>0</v>
      </c>
      <c r="T24" s="283">
        <v>0</v>
      </c>
      <c r="U24" s="283">
        <v>0</v>
      </c>
      <c r="V24" s="283">
        <v>0</v>
      </c>
      <c r="W24" s="283">
        <v>0</v>
      </c>
      <c r="X24" s="283"/>
      <c r="Y24" s="720" t="e">
        <f>W24/V24</f>
        <v>#DIV/0!</v>
      </c>
    </row>
    <row r="25" spans="1:25" ht="21.75" customHeight="1">
      <c r="A25" s="1016"/>
      <c r="B25" s="89"/>
      <c r="C25" s="89" t="s">
        <v>96</v>
      </c>
      <c r="D25" s="321" t="s">
        <v>308</v>
      </c>
      <c r="E25" s="959">
        <v>10263812</v>
      </c>
      <c r="F25" s="960">
        <v>10263812</v>
      </c>
      <c r="G25" s="960">
        <f>10263812+350000-440000</f>
        <v>10173812</v>
      </c>
      <c r="H25" s="960">
        <f>10263812+350000-440000</f>
        <v>10173812</v>
      </c>
      <c r="I25" s="960">
        <f>10263812+350000-440000+300610</f>
        <v>10474422</v>
      </c>
      <c r="J25" s="960">
        <f>1152210+9391677+952470</f>
        <v>11496357</v>
      </c>
      <c r="K25" s="1019"/>
      <c r="L25" s="959">
        <v>10263812</v>
      </c>
      <c r="M25" s="960">
        <v>10263812</v>
      </c>
      <c r="N25" s="1018">
        <f aca="true" t="shared" si="13" ref="N25:P26">G25-U25</f>
        <v>10173812</v>
      </c>
      <c r="O25" s="1018">
        <f t="shared" si="13"/>
        <v>10173812</v>
      </c>
      <c r="P25" s="1018">
        <f t="shared" si="13"/>
        <v>10474422</v>
      </c>
      <c r="Q25" s="958">
        <f>J25</f>
        <v>11496357</v>
      </c>
      <c r="R25" s="980">
        <f aca="true" t="shared" si="14" ref="Q25:R27">K25</f>
        <v>0</v>
      </c>
      <c r="S25" s="959">
        <v>0</v>
      </c>
      <c r="T25" s="960">
        <v>0</v>
      </c>
      <c r="U25" s="960">
        <v>0</v>
      </c>
      <c r="V25" s="960">
        <v>0</v>
      </c>
      <c r="W25" s="960">
        <v>0</v>
      </c>
      <c r="X25" s="960"/>
      <c r="Y25" s="720" t="e">
        <f>W25/V25</f>
        <v>#DIV/0!</v>
      </c>
    </row>
    <row r="26" spans="1:25" ht="41.25" customHeight="1">
      <c r="A26" s="1016"/>
      <c r="B26" s="89"/>
      <c r="C26" s="89" t="s">
        <v>97</v>
      </c>
      <c r="D26" s="321" t="s">
        <v>309</v>
      </c>
      <c r="E26" s="959"/>
      <c r="F26" s="960"/>
      <c r="G26" s="960">
        <v>390358</v>
      </c>
      <c r="H26" s="960">
        <v>390358</v>
      </c>
      <c r="I26" s="960">
        <v>390358</v>
      </c>
      <c r="J26" s="960">
        <v>390358</v>
      </c>
      <c r="K26" s="1019"/>
      <c r="L26" s="959"/>
      <c r="M26" s="960"/>
      <c r="N26" s="1018">
        <f t="shared" si="13"/>
        <v>390358</v>
      </c>
      <c r="O26" s="1018">
        <f t="shared" si="13"/>
        <v>390358</v>
      </c>
      <c r="P26" s="1018">
        <f t="shared" si="13"/>
        <v>390358</v>
      </c>
      <c r="Q26" s="958">
        <f t="shared" si="14"/>
        <v>390358</v>
      </c>
      <c r="R26" s="980">
        <f t="shared" si="14"/>
        <v>0</v>
      </c>
      <c r="S26" s="959">
        <v>0</v>
      </c>
      <c r="T26" s="960">
        <v>0</v>
      </c>
      <c r="U26" s="960">
        <v>0</v>
      </c>
      <c r="V26" s="960">
        <v>0</v>
      </c>
      <c r="W26" s="960">
        <v>0</v>
      </c>
      <c r="X26" s="960"/>
      <c r="Y26" s="720"/>
    </row>
    <row r="27" spans="1:25" ht="21.75" customHeight="1">
      <c r="A27" s="1016"/>
      <c r="B27" s="89"/>
      <c r="C27" s="89" t="s">
        <v>98</v>
      </c>
      <c r="D27" s="321" t="s">
        <v>510</v>
      </c>
      <c r="E27" s="959"/>
      <c r="F27" s="960"/>
      <c r="G27" s="960"/>
      <c r="H27" s="960"/>
      <c r="I27" s="960">
        <v>100171</v>
      </c>
      <c r="J27" s="960">
        <v>100171</v>
      </c>
      <c r="K27" s="961"/>
      <c r="L27" s="959"/>
      <c r="M27" s="960"/>
      <c r="N27" s="960"/>
      <c r="O27" s="960"/>
      <c r="P27" s="1018">
        <f>I27-W27</f>
        <v>100171</v>
      </c>
      <c r="Q27" s="958">
        <f t="shared" si="14"/>
        <v>100171</v>
      </c>
      <c r="R27" s="982">
        <v>2</v>
      </c>
      <c r="S27" s="959">
        <v>0</v>
      </c>
      <c r="T27" s="960">
        <v>0</v>
      </c>
      <c r="U27" s="960">
        <v>0</v>
      </c>
      <c r="V27" s="960">
        <v>0</v>
      </c>
      <c r="W27" s="960">
        <v>0</v>
      </c>
      <c r="X27" s="960"/>
      <c r="Y27" s="720"/>
    </row>
    <row r="28" spans="1:25" ht="21.75" customHeight="1">
      <c r="A28" s="1016"/>
      <c r="B28" s="89" t="s">
        <v>275</v>
      </c>
      <c r="C28" s="1114" t="s">
        <v>310</v>
      </c>
      <c r="D28" s="1114"/>
      <c r="E28" s="959">
        <v>1642410</v>
      </c>
      <c r="F28" s="960">
        <v>1642410</v>
      </c>
      <c r="G28" s="960">
        <f>1642410+46198+21600</f>
        <v>1710208</v>
      </c>
      <c r="H28" s="960">
        <f>1642410+46198+21600</f>
        <v>1710208</v>
      </c>
      <c r="I28" s="960">
        <f>1642410+46198+21600</f>
        <v>1710208</v>
      </c>
      <c r="J28" s="960">
        <v>1120208</v>
      </c>
      <c r="K28" s="1019"/>
      <c r="L28" s="959">
        <v>1642410</v>
      </c>
      <c r="M28" s="960">
        <v>1642410</v>
      </c>
      <c r="N28" s="1018">
        <f>G28-U28</f>
        <v>1710208</v>
      </c>
      <c r="O28" s="1018">
        <f>H28-V28</f>
        <v>1710208</v>
      </c>
      <c r="P28" s="1018">
        <f>I28-W28</f>
        <v>1710208</v>
      </c>
      <c r="Q28" s="958">
        <f>J28-X28</f>
        <v>1039208</v>
      </c>
      <c r="R28" s="980">
        <f>K28</f>
        <v>0</v>
      </c>
      <c r="S28" s="959">
        <v>0</v>
      </c>
      <c r="T28" s="960">
        <v>0</v>
      </c>
      <c r="U28" s="960">
        <v>0</v>
      </c>
      <c r="V28" s="960">
        <v>0</v>
      </c>
      <c r="W28" s="960">
        <v>0</v>
      </c>
      <c r="X28" s="960">
        <v>81000</v>
      </c>
      <c r="Y28" s="720"/>
    </row>
    <row r="29" spans="1:25" ht="21.75" customHeight="1">
      <c r="A29" s="1032"/>
      <c r="B29" s="98" t="s">
        <v>311</v>
      </c>
      <c r="C29" s="1114" t="s">
        <v>589</v>
      </c>
      <c r="D29" s="1114"/>
      <c r="E29" s="959"/>
      <c r="F29" s="960"/>
      <c r="G29" s="960"/>
      <c r="H29" s="960"/>
      <c r="I29" s="960">
        <v>237795</v>
      </c>
      <c r="J29" s="960">
        <v>297932</v>
      </c>
      <c r="K29" s="961"/>
      <c r="L29" s="959"/>
      <c r="M29" s="960"/>
      <c r="N29" s="960"/>
      <c r="O29" s="960"/>
      <c r="P29" s="1018">
        <f>I29-W29</f>
        <v>237795</v>
      </c>
      <c r="Q29" s="958">
        <f>J29-X29</f>
        <v>297932</v>
      </c>
      <c r="R29" s="982">
        <v>2</v>
      </c>
      <c r="S29" s="959">
        <v>0</v>
      </c>
      <c r="T29" s="960">
        <v>0</v>
      </c>
      <c r="U29" s="960">
        <v>0</v>
      </c>
      <c r="V29" s="960">
        <v>0</v>
      </c>
      <c r="W29" s="960">
        <v>0</v>
      </c>
      <c r="X29" s="960"/>
      <c r="Y29" s="720"/>
    </row>
    <row r="30" spans="1:25" ht="21.75" customHeight="1">
      <c r="A30" s="1032"/>
      <c r="B30" s="98" t="s">
        <v>313</v>
      </c>
      <c r="C30" s="1114" t="s">
        <v>314</v>
      </c>
      <c r="D30" s="1114"/>
      <c r="E30" s="959">
        <f>150000+763332</f>
        <v>913332</v>
      </c>
      <c r="F30" s="960">
        <f>150000+763332</f>
        <v>913332</v>
      </c>
      <c r="G30" s="960">
        <f>150000+763332</f>
        <v>913332</v>
      </c>
      <c r="H30" s="960">
        <f>150000+763332</f>
        <v>913332</v>
      </c>
      <c r="I30" s="960">
        <f>150000+763332</f>
        <v>913332</v>
      </c>
      <c r="J30" s="960">
        <v>913332</v>
      </c>
      <c r="K30" s="1019"/>
      <c r="L30" s="959">
        <f>150000+763332</f>
        <v>913332</v>
      </c>
      <c r="M30" s="960">
        <f>150000+763332</f>
        <v>913332</v>
      </c>
      <c r="N30" s="1018">
        <f>G30-U30</f>
        <v>913332</v>
      </c>
      <c r="O30" s="1018">
        <f>H30-V30</f>
        <v>913332</v>
      </c>
      <c r="P30" s="1018">
        <f>I30-W30</f>
        <v>913332</v>
      </c>
      <c r="Q30" s="958">
        <f>J30</f>
        <v>913332</v>
      </c>
      <c r="R30" s="980">
        <f>K30</f>
        <v>0</v>
      </c>
      <c r="S30" s="959">
        <v>0</v>
      </c>
      <c r="T30" s="960">
        <v>0</v>
      </c>
      <c r="U30" s="960">
        <v>0</v>
      </c>
      <c r="V30" s="960">
        <v>0</v>
      </c>
      <c r="W30" s="960">
        <v>0</v>
      </c>
      <c r="X30" s="960"/>
      <c r="Y30" s="720"/>
    </row>
    <row r="31" spans="1:25" ht="21.75" customHeight="1" thickBot="1">
      <c r="A31" s="1032"/>
      <c r="B31" s="98" t="s">
        <v>69</v>
      </c>
      <c r="C31" s="1113" t="s">
        <v>70</v>
      </c>
      <c r="D31" s="1113"/>
      <c r="E31" s="959"/>
      <c r="F31" s="960"/>
      <c r="G31" s="960">
        <v>1735017</v>
      </c>
      <c r="H31" s="960">
        <v>1735017</v>
      </c>
      <c r="I31" s="960">
        <f>727141+1735017</f>
        <v>2462158</v>
      </c>
      <c r="J31" s="960">
        <v>2845958</v>
      </c>
      <c r="K31" s="1019"/>
      <c r="L31" s="959"/>
      <c r="M31" s="960"/>
      <c r="N31" s="1018">
        <f>G31-U31</f>
        <v>1735017</v>
      </c>
      <c r="O31" s="1018">
        <f>H31-V31</f>
        <v>1735017</v>
      </c>
      <c r="P31" s="1018">
        <f>I31-W31</f>
        <v>2462158</v>
      </c>
      <c r="Q31" s="958">
        <f>J31</f>
        <v>2845958</v>
      </c>
      <c r="R31" s="980">
        <f>K31</f>
        <v>0</v>
      </c>
      <c r="S31" s="959">
        <v>0</v>
      </c>
      <c r="T31" s="960">
        <v>0</v>
      </c>
      <c r="U31" s="960">
        <v>0</v>
      </c>
      <c r="V31" s="960">
        <v>0</v>
      </c>
      <c r="W31" s="960">
        <v>0</v>
      </c>
      <c r="X31" s="960"/>
      <c r="Y31" s="720"/>
    </row>
    <row r="32" spans="1:25" ht="21.75" customHeight="1" thickBot="1">
      <c r="A32" s="1033" t="s">
        <v>10</v>
      </c>
      <c r="B32" s="1108" t="s">
        <v>315</v>
      </c>
      <c r="C32" s="1108"/>
      <c r="D32" s="1108"/>
      <c r="E32" s="352">
        <f aca="true" t="shared" si="15" ref="E32:J32">SUM(E33:E37)</f>
        <v>255822270</v>
      </c>
      <c r="F32" s="103">
        <f t="shared" si="15"/>
        <v>255822270</v>
      </c>
      <c r="G32" s="103">
        <f t="shared" si="15"/>
        <v>255822270</v>
      </c>
      <c r="H32" s="103">
        <f t="shared" si="15"/>
        <v>264508418</v>
      </c>
      <c r="I32" s="103">
        <f t="shared" si="15"/>
        <v>276651755</v>
      </c>
      <c r="J32" s="103">
        <f t="shared" si="15"/>
        <v>280919250</v>
      </c>
      <c r="K32" s="1010">
        <f>J32/I32</f>
        <v>1.0154255121208249</v>
      </c>
      <c r="L32" s="352">
        <f aca="true" t="shared" si="16" ref="L32:R32">SUM(L33:L37)</f>
        <v>255822270</v>
      </c>
      <c r="M32" s="103">
        <f t="shared" si="16"/>
        <v>255822270</v>
      </c>
      <c r="N32" s="103">
        <f>SUM(N33:N37)</f>
        <v>255822270</v>
      </c>
      <c r="O32" s="103">
        <f>SUM(O33:O37)</f>
        <v>264508418</v>
      </c>
      <c r="P32" s="103">
        <f>SUM(P33:P37)</f>
        <v>276651755</v>
      </c>
      <c r="Q32" s="103">
        <f t="shared" si="16"/>
        <v>280919250</v>
      </c>
      <c r="R32" s="822">
        <f t="shared" si="16"/>
        <v>2</v>
      </c>
      <c r="S32" s="352">
        <v>0</v>
      </c>
      <c r="T32" s="103">
        <v>0</v>
      </c>
      <c r="U32" s="103">
        <v>0</v>
      </c>
      <c r="V32" s="103">
        <v>0</v>
      </c>
      <c r="W32" s="103">
        <v>0</v>
      </c>
      <c r="X32" s="103"/>
      <c r="Y32" s="736"/>
    </row>
    <row r="33" spans="1:27" ht="21.75" customHeight="1">
      <c r="A33" s="1029"/>
      <c r="B33" s="98" t="s">
        <v>42</v>
      </c>
      <c r="C33" s="1186" t="s">
        <v>316</v>
      </c>
      <c r="D33" s="1186"/>
      <c r="E33" s="964">
        <v>217306312</v>
      </c>
      <c r="F33" s="965">
        <f>217306312+1201788+1105977</f>
        <v>219614077</v>
      </c>
      <c r="G33" s="965">
        <f>217306312+1201788+1105977+283506+4767278</f>
        <v>224664861</v>
      </c>
      <c r="H33" s="965">
        <f>217306312+1201788+1105977+283506+4767278+74420+1515184+800727</f>
        <v>227055192</v>
      </c>
      <c r="I33" s="965">
        <f>217306312+1201788+1105977+283506+4767278+74420+1515184+800727+2*74421+1499946+1466193+767984-297993-27234-913440+6690000-1349400-4560+133454</f>
        <v>235168984</v>
      </c>
      <c r="J33" s="965">
        <f>70029077+42356217+124108712+3861934</f>
        <v>240355940</v>
      </c>
      <c r="K33" s="1019"/>
      <c r="L33" s="964">
        <v>217306312</v>
      </c>
      <c r="M33" s="965">
        <f>217306312+1201788+1105977</f>
        <v>219614077</v>
      </c>
      <c r="N33" s="1018">
        <f aca="true" t="shared" si="17" ref="N33:P34">G33-U33</f>
        <v>224664861</v>
      </c>
      <c r="O33" s="1018">
        <f t="shared" si="17"/>
        <v>227055192</v>
      </c>
      <c r="P33" s="1018">
        <f t="shared" si="17"/>
        <v>235168984</v>
      </c>
      <c r="Q33" s="958">
        <f>J33</f>
        <v>240355940</v>
      </c>
      <c r="R33" s="980">
        <f>K33</f>
        <v>0</v>
      </c>
      <c r="S33" s="964">
        <v>0</v>
      </c>
      <c r="T33" s="965">
        <v>0</v>
      </c>
      <c r="U33" s="965">
        <v>0</v>
      </c>
      <c r="V33" s="965">
        <v>0</v>
      </c>
      <c r="W33" s="965">
        <v>0</v>
      </c>
      <c r="X33" s="965"/>
      <c r="Y33" s="934"/>
      <c r="AA33" s="315"/>
    </row>
    <row r="34" spans="1:25" ht="21.75" customHeight="1">
      <c r="A34" s="1016"/>
      <c r="B34" s="98" t="s">
        <v>43</v>
      </c>
      <c r="C34" s="1114" t="s">
        <v>504</v>
      </c>
      <c r="D34" s="1114"/>
      <c r="E34" s="959"/>
      <c r="F34" s="960"/>
      <c r="G34" s="960">
        <v>2175574</v>
      </c>
      <c r="H34" s="960">
        <f>2175574+8686148</f>
        <v>10861722</v>
      </c>
      <c r="I34" s="960">
        <f>2175574+8686148+2895383+351360*2+329522</f>
        <v>14789347</v>
      </c>
      <c r="J34" s="960">
        <v>20499784</v>
      </c>
      <c r="K34" s="1019"/>
      <c r="L34" s="959"/>
      <c r="M34" s="960"/>
      <c r="N34" s="1018">
        <f t="shared" si="17"/>
        <v>2175574</v>
      </c>
      <c r="O34" s="1018">
        <f t="shared" si="17"/>
        <v>10861722</v>
      </c>
      <c r="P34" s="1018">
        <f t="shared" si="17"/>
        <v>14789347</v>
      </c>
      <c r="Q34" s="958">
        <f>J34</f>
        <v>20499784</v>
      </c>
      <c r="R34" s="980">
        <f>K34</f>
        <v>0</v>
      </c>
      <c r="S34" s="959">
        <v>0</v>
      </c>
      <c r="T34" s="960">
        <v>0</v>
      </c>
      <c r="U34" s="960">
        <v>0</v>
      </c>
      <c r="V34" s="960">
        <v>0</v>
      </c>
      <c r="W34" s="960">
        <v>0</v>
      </c>
      <c r="X34" s="960"/>
      <c r="Y34" s="720"/>
    </row>
    <row r="35" spans="1:25" ht="21.75" customHeight="1">
      <c r="A35" s="1016"/>
      <c r="B35" s="98" t="s">
        <v>67</v>
      </c>
      <c r="C35" s="1114" t="s">
        <v>441</v>
      </c>
      <c r="D35" s="1114"/>
      <c r="E35" s="959">
        <v>0</v>
      </c>
      <c r="F35" s="960">
        <v>0</v>
      </c>
      <c r="G35" s="960">
        <v>0</v>
      </c>
      <c r="H35" s="960">
        <v>0</v>
      </c>
      <c r="I35" s="960">
        <v>0</v>
      </c>
      <c r="J35" s="960">
        <v>0</v>
      </c>
      <c r="K35" s="1019"/>
      <c r="L35" s="959">
        <v>0</v>
      </c>
      <c r="M35" s="960">
        <v>0</v>
      </c>
      <c r="N35" s="960">
        <v>0</v>
      </c>
      <c r="O35" s="960">
        <v>0</v>
      </c>
      <c r="P35" s="960">
        <v>0</v>
      </c>
      <c r="Q35" s="960">
        <v>0</v>
      </c>
      <c r="R35" s="982">
        <v>0</v>
      </c>
      <c r="S35" s="959">
        <v>0</v>
      </c>
      <c r="T35" s="960">
        <v>0</v>
      </c>
      <c r="U35" s="960">
        <v>0</v>
      </c>
      <c r="V35" s="960">
        <v>0</v>
      </c>
      <c r="W35" s="960">
        <v>0</v>
      </c>
      <c r="X35" s="960"/>
      <c r="Y35" s="720"/>
    </row>
    <row r="36" spans="1:25" ht="21.75" customHeight="1">
      <c r="A36" s="1016"/>
      <c r="B36" s="98" t="s">
        <v>68</v>
      </c>
      <c r="C36" s="1114" t="s">
        <v>359</v>
      </c>
      <c r="D36" s="1114"/>
      <c r="E36" s="959">
        <v>0</v>
      </c>
      <c r="F36" s="960">
        <v>0</v>
      </c>
      <c r="G36" s="960">
        <v>0</v>
      </c>
      <c r="H36" s="960">
        <v>0</v>
      </c>
      <c r="I36" s="960">
        <v>0</v>
      </c>
      <c r="J36" s="960">
        <v>0</v>
      </c>
      <c r="K36" s="961"/>
      <c r="L36" s="959">
        <v>0</v>
      </c>
      <c r="M36" s="960">
        <v>0</v>
      </c>
      <c r="N36" s="960">
        <v>0</v>
      </c>
      <c r="O36" s="960">
        <v>0</v>
      </c>
      <c r="P36" s="960">
        <v>0</v>
      </c>
      <c r="Q36" s="960">
        <v>0</v>
      </c>
      <c r="R36" s="982">
        <v>0</v>
      </c>
      <c r="S36" s="959">
        <v>0</v>
      </c>
      <c r="T36" s="960">
        <v>0</v>
      </c>
      <c r="U36" s="960">
        <v>0</v>
      </c>
      <c r="V36" s="960">
        <v>0</v>
      </c>
      <c r="W36" s="960">
        <v>0</v>
      </c>
      <c r="X36" s="960"/>
      <c r="Y36" s="720"/>
    </row>
    <row r="37" spans="1:25" ht="21.75" customHeight="1">
      <c r="A37" s="1016"/>
      <c r="B37" s="98" t="s">
        <v>355</v>
      </c>
      <c r="C37" s="1114" t="s">
        <v>317</v>
      </c>
      <c r="D37" s="1114"/>
      <c r="E37" s="360">
        <f aca="true" t="shared" si="18" ref="E37:J37">SUM(E38:E40)</f>
        <v>38515958</v>
      </c>
      <c r="F37" s="283">
        <f t="shared" si="18"/>
        <v>36208193</v>
      </c>
      <c r="G37" s="283">
        <f t="shared" si="18"/>
        <v>28981835</v>
      </c>
      <c r="H37" s="283">
        <f t="shared" si="18"/>
        <v>26591504</v>
      </c>
      <c r="I37" s="283">
        <f t="shared" si="18"/>
        <v>26693424</v>
      </c>
      <c r="J37" s="283">
        <f t="shared" si="18"/>
        <v>20063526</v>
      </c>
      <c r="K37" s="733">
        <f>J37/I37</f>
        <v>0.7516280414232359</v>
      </c>
      <c r="L37" s="360">
        <f aca="true" t="shared" si="19" ref="L37:R37">SUM(L38:L40)</f>
        <v>38515958</v>
      </c>
      <c r="M37" s="283">
        <f t="shared" si="19"/>
        <v>36208193</v>
      </c>
      <c r="N37" s="283">
        <f t="shared" si="19"/>
        <v>28981835</v>
      </c>
      <c r="O37" s="283">
        <f>SUM(O38:O40)</f>
        <v>26591504</v>
      </c>
      <c r="P37" s="283">
        <f>SUM(P38:P40)</f>
        <v>26693424</v>
      </c>
      <c r="Q37" s="283">
        <f t="shared" si="19"/>
        <v>20063526</v>
      </c>
      <c r="R37" s="981">
        <f t="shared" si="19"/>
        <v>2</v>
      </c>
      <c r="S37" s="360">
        <v>0</v>
      </c>
      <c r="T37" s="283">
        <v>0</v>
      </c>
      <c r="U37" s="283">
        <v>0</v>
      </c>
      <c r="V37" s="283">
        <v>0</v>
      </c>
      <c r="W37" s="283">
        <v>0</v>
      </c>
      <c r="X37" s="283"/>
      <c r="Y37" s="720"/>
    </row>
    <row r="38" spans="1:25" ht="21.75" customHeight="1">
      <c r="A38" s="1016"/>
      <c r="B38" s="98"/>
      <c r="C38" s="95" t="s">
        <v>356</v>
      </c>
      <c r="D38" s="604" t="s">
        <v>33</v>
      </c>
      <c r="E38" s="959">
        <v>8066400</v>
      </c>
      <c r="F38" s="960">
        <v>8066400</v>
      </c>
      <c r="G38" s="960">
        <v>8066400</v>
      </c>
      <c r="H38" s="960">
        <v>8066400</v>
      </c>
      <c r="I38" s="960">
        <v>8066400</v>
      </c>
      <c r="J38" s="960">
        <v>8182000</v>
      </c>
      <c r="K38" s="1019"/>
      <c r="L38" s="959">
        <v>8066400</v>
      </c>
      <c r="M38" s="960">
        <v>8066400</v>
      </c>
      <c r="N38" s="1018">
        <f>G38-U38</f>
        <v>8066400</v>
      </c>
      <c r="O38" s="1018">
        <f>H38-V38</f>
        <v>8066400</v>
      </c>
      <c r="P38" s="1018">
        <f>I38-W38</f>
        <v>8066400</v>
      </c>
      <c r="Q38" s="958">
        <f>J38</f>
        <v>8182000</v>
      </c>
      <c r="R38" s="980">
        <f>K38</f>
        <v>0</v>
      </c>
      <c r="S38" s="959">
        <v>0</v>
      </c>
      <c r="T38" s="960">
        <v>0</v>
      </c>
      <c r="U38" s="960">
        <v>0</v>
      </c>
      <c r="V38" s="960">
        <v>0</v>
      </c>
      <c r="W38" s="960">
        <v>0</v>
      </c>
      <c r="X38" s="960"/>
      <c r="Y38" s="720"/>
    </row>
    <row r="39" spans="1:25" ht="21.75" customHeight="1">
      <c r="A39" s="1016"/>
      <c r="B39" s="98"/>
      <c r="C39" s="89" t="s">
        <v>357</v>
      </c>
      <c r="D39" s="321" t="s">
        <v>32</v>
      </c>
      <c r="E39" s="959"/>
      <c r="F39" s="960"/>
      <c r="G39" s="960"/>
      <c r="H39" s="960"/>
      <c r="I39" s="960">
        <v>3844000</v>
      </c>
      <c r="J39" s="960">
        <v>3844000</v>
      </c>
      <c r="K39" s="961"/>
      <c r="L39" s="959"/>
      <c r="M39" s="960"/>
      <c r="N39" s="960"/>
      <c r="O39" s="960"/>
      <c r="P39" s="1018">
        <f>I39-W39</f>
        <v>3844000</v>
      </c>
      <c r="Q39" s="958">
        <f>J39-X39</f>
        <v>3844000</v>
      </c>
      <c r="R39" s="982">
        <v>2</v>
      </c>
      <c r="S39" s="959">
        <v>0</v>
      </c>
      <c r="T39" s="960">
        <v>0</v>
      </c>
      <c r="U39" s="960">
        <v>0</v>
      </c>
      <c r="V39" s="960">
        <v>0</v>
      </c>
      <c r="W39" s="960">
        <v>0</v>
      </c>
      <c r="X39" s="960"/>
      <c r="Y39" s="720"/>
    </row>
    <row r="40" spans="1:25" ht="21.75" customHeight="1" thickBot="1">
      <c r="A40" s="1016"/>
      <c r="B40" s="98"/>
      <c r="C40" s="89" t="s">
        <v>358</v>
      </c>
      <c r="D40" s="321" t="s">
        <v>34</v>
      </c>
      <c r="E40" s="962">
        <v>30449558</v>
      </c>
      <c r="F40" s="963">
        <f>30449558-2307765</f>
        <v>28141793</v>
      </c>
      <c r="G40" s="963">
        <f>30449558-2307765-7226358</f>
        <v>20915435</v>
      </c>
      <c r="H40" s="963">
        <f>30449558-2307765-7226358-1515184-74420-800727</f>
        <v>18525104</v>
      </c>
      <c r="I40" s="963">
        <f>30449558-2307765-7226358-1515184-74420-800727-4280677+211000+327597</f>
        <v>14783024</v>
      </c>
      <c r="J40" s="963">
        <f>36600+7608926+392000</f>
        <v>8037526</v>
      </c>
      <c r="K40" s="1019"/>
      <c r="L40" s="962">
        <v>30449558</v>
      </c>
      <c r="M40" s="963">
        <f>30449558-2307765</f>
        <v>28141793</v>
      </c>
      <c r="N40" s="1018">
        <f>G40-U40</f>
        <v>20915435</v>
      </c>
      <c r="O40" s="1018">
        <f>H40-V40</f>
        <v>18525104</v>
      </c>
      <c r="P40" s="1018">
        <f>I40-W40</f>
        <v>14783024</v>
      </c>
      <c r="Q40" s="958">
        <f>J40</f>
        <v>8037526</v>
      </c>
      <c r="R40" s="980">
        <f>K40</f>
        <v>0</v>
      </c>
      <c r="S40" s="962">
        <v>0</v>
      </c>
      <c r="T40" s="963">
        <v>0</v>
      </c>
      <c r="U40" s="963">
        <v>0</v>
      </c>
      <c r="V40" s="963">
        <v>0</v>
      </c>
      <c r="W40" s="963">
        <v>0</v>
      </c>
      <c r="X40" s="963"/>
      <c r="Y40" s="721"/>
    </row>
    <row r="41" spans="1:25" ht="21.75" customHeight="1" thickBot="1">
      <c r="A41" s="1033" t="s">
        <v>11</v>
      </c>
      <c r="B41" s="1108" t="s">
        <v>318</v>
      </c>
      <c r="C41" s="1108"/>
      <c r="D41" s="1108"/>
      <c r="E41" s="352">
        <f>SUM(E42:E43)</f>
        <v>40000000</v>
      </c>
      <c r="F41" s="103">
        <f>SUM(F42:F43)</f>
        <v>40000000</v>
      </c>
      <c r="G41" s="103">
        <f>SUM(G42:G43)</f>
        <v>40000000</v>
      </c>
      <c r="H41" s="103">
        <f>SUM(H42:H43)</f>
        <v>208644474</v>
      </c>
      <c r="I41" s="103">
        <f>SUM(I42:I43)</f>
        <v>204800474</v>
      </c>
      <c r="J41" s="103">
        <f>J42+J43+J47</f>
        <v>205085474</v>
      </c>
      <c r="K41" s="1010">
        <f>J41/I41</f>
        <v>1.0013915983417108</v>
      </c>
      <c r="L41" s="352">
        <f>SUM(L42:L43)</f>
        <v>40000000</v>
      </c>
      <c r="M41" s="103">
        <f>SUM(M42:M43)</f>
        <v>40000000</v>
      </c>
      <c r="N41" s="103">
        <f>SUM(N42:N43)</f>
        <v>40000000</v>
      </c>
      <c r="O41" s="103">
        <f>SUM(O42:O43)</f>
        <v>208644474</v>
      </c>
      <c r="P41" s="103">
        <f>SUM(P42:P43)</f>
        <v>204800474</v>
      </c>
      <c r="Q41" s="103">
        <f>Q42+Q43+Q47</f>
        <v>205085474</v>
      </c>
      <c r="R41" s="822">
        <f>R42+R43+R47</f>
        <v>6000002</v>
      </c>
      <c r="S41" s="352">
        <f>SUM(S42:S43)</f>
        <v>0</v>
      </c>
      <c r="T41" s="103">
        <f>SUM(T42:T43)</f>
        <v>0</v>
      </c>
      <c r="U41" s="103">
        <f>SUM(U42:U43)</f>
        <v>0</v>
      </c>
      <c r="V41" s="103">
        <f>SUM(V42:V43)</f>
        <v>0</v>
      </c>
      <c r="W41" s="103">
        <f>SUM(W42:W43)</f>
        <v>0</v>
      </c>
      <c r="X41" s="103">
        <f>X42+X43+X47</f>
        <v>0</v>
      </c>
      <c r="Y41" s="736"/>
    </row>
    <row r="42" spans="1:25" ht="21.75" customHeight="1">
      <c r="A42" s="1029"/>
      <c r="B42" s="1034" t="s">
        <v>319</v>
      </c>
      <c r="C42" s="1122" t="s">
        <v>321</v>
      </c>
      <c r="D42" s="1122"/>
      <c r="E42" s="968">
        <v>40000000</v>
      </c>
      <c r="F42" s="966">
        <v>40000000</v>
      </c>
      <c r="G42" s="966">
        <v>40000000</v>
      </c>
      <c r="H42" s="966">
        <v>40000000</v>
      </c>
      <c r="I42" s="966">
        <v>40000000</v>
      </c>
      <c r="J42" s="966">
        <v>40285000</v>
      </c>
      <c r="K42" s="967"/>
      <c r="L42" s="968">
        <v>40000000</v>
      </c>
      <c r="M42" s="966">
        <v>40000000</v>
      </c>
      <c r="N42" s="1018">
        <f>G42-U42</f>
        <v>40000000</v>
      </c>
      <c r="O42" s="1018">
        <f>H42-V42</f>
        <v>40000000</v>
      </c>
      <c r="P42" s="1018">
        <f>I42-W42</f>
        <v>40000000</v>
      </c>
      <c r="Q42" s="958">
        <f>J42-X42</f>
        <v>40285000</v>
      </c>
      <c r="R42" s="983">
        <v>2</v>
      </c>
      <c r="S42" s="968">
        <v>0</v>
      </c>
      <c r="T42" s="966">
        <v>0</v>
      </c>
      <c r="U42" s="966">
        <v>0</v>
      </c>
      <c r="V42" s="966">
        <v>0</v>
      </c>
      <c r="W42" s="966">
        <v>0</v>
      </c>
      <c r="X42" s="966"/>
      <c r="Y42" s="740"/>
    </row>
    <row r="43" spans="1:25" ht="21.75" customHeight="1">
      <c r="A43" s="1016"/>
      <c r="B43" s="1035" t="s">
        <v>320</v>
      </c>
      <c r="C43" s="1114" t="s">
        <v>322</v>
      </c>
      <c r="D43" s="1114"/>
      <c r="E43" s="360">
        <f aca="true" t="shared" si="20" ref="E43:J43">SUM(E44:E46)</f>
        <v>0</v>
      </c>
      <c r="F43" s="283">
        <f t="shared" si="20"/>
        <v>0</v>
      </c>
      <c r="G43" s="283">
        <f t="shared" si="20"/>
        <v>0</v>
      </c>
      <c r="H43" s="283">
        <f t="shared" si="20"/>
        <v>168644474</v>
      </c>
      <c r="I43" s="283">
        <f t="shared" si="20"/>
        <v>164800474</v>
      </c>
      <c r="J43" s="283">
        <f t="shared" si="20"/>
        <v>164800474</v>
      </c>
      <c r="K43" s="733">
        <f>J43/I43</f>
        <v>1</v>
      </c>
      <c r="L43" s="360">
        <f aca="true" t="shared" si="21" ref="L43:Q43">SUM(L44:L46)</f>
        <v>0</v>
      </c>
      <c r="M43" s="283">
        <f t="shared" si="21"/>
        <v>0</v>
      </c>
      <c r="N43" s="283">
        <f t="shared" si="21"/>
        <v>0</v>
      </c>
      <c r="O43" s="283">
        <f t="shared" si="21"/>
        <v>168644474</v>
      </c>
      <c r="P43" s="283">
        <f t="shared" si="21"/>
        <v>164800474</v>
      </c>
      <c r="Q43" s="283">
        <f t="shared" si="21"/>
        <v>164800474</v>
      </c>
      <c r="R43" s="981">
        <f aca="true" t="shared" si="22" ref="R43:X43">SUM(R44:R46)</f>
        <v>6000000</v>
      </c>
      <c r="S43" s="360">
        <f t="shared" si="22"/>
        <v>0</v>
      </c>
      <c r="T43" s="283">
        <f>SUM(T44:T46)</f>
        <v>0</v>
      </c>
      <c r="U43" s="283">
        <f>SUM(U44:U46)</f>
        <v>0</v>
      </c>
      <c r="V43" s="283">
        <f>SUM(V44:V46)</f>
        <v>0</v>
      </c>
      <c r="W43" s="283">
        <f>SUM(W44:W46)</f>
        <v>0</v>
      </c>
      <c r="X43" s="283">
        <f t="shared" si="22"/>
        <v>0</v>
      </c>
      <c r="Y43" s="720"/>
    </row>
    <row r="44" spans="1:25" ht="21.75" customHeight="1">
      <c r="A44" s="1016"/>
      <c r="B44" s="1034"/>
      <c r="C44" s="95" t="s">
        <v>323</v>
      </c>
      <c r="D44" s="604" t="s">
        <v>33</v>
      </c>
      <c r="E44" s="959">
        <v>0</v>
      </c>
      <c r="F44" s="960">
        <v>0</v>
      </c>
      <c r="G44" s="960">
        <v>0</v>
      </c>
      <c r="H44" s="960">
        <v>0</v>
      </c>
      <c r="I44" s="960">
        <v>0</v>
      </c>
      <c r="J44" s="960">
        <v>0</v>
      </c>
      <c r="K44" s="961"/>
      <c r="L44" s="959">
        <v>0</v>
      </c>
      <c r="M44" s="960">
        <v>0</v>
      </c>
      <c r="N44" s="960">
        <v>0</v>
      </c>
      <c r="O44" s="960">
        <v>0</v>
      </c>
      <c r="P44" s="960">
        <v>0</v>
      </c>
      <c r="Q44" s="960"/>
      <c r="R44" s="982">
        <v>0</v>
      </c>
      <c r="S44" s="959">
        <v>0</v>
      </c>
      <c r="T44" s="960">
        <v>0</v>
      </c>
      <c r="U44" s="960">
        <v>0</v>
      </c>
      <c r="V44" s="960">
        <v>0</v>
      </c>
      <c r="W44" s="960">
        <v>0</v>
      </c>
      <c r="X44" s="960"/>
      <c r="Y44" s="720"/>
    </row>
    <row r="45" spans="1:25" ht="21.75" customHeight="1">
      <c r="A45" s="1016"/>
      <c r="B45" s="1035"/>
      <c r="C45" s="89" t="s">
        <v>324</v>
      </c>
      <c r="D45" s="604" t="s">
        <v>32</v>
      </c>
      <c r="E45" s="959">
        <v>0</v>
      </c>
      <c r="F45" s="960">
        <v>0</v>
      </c>
      <c r="G45" s="960">
        <v>0</v>
      </c>
      <c r="H45" s="960">
        <v>0</v>
      </c>
      <c r="I45" s="960">
        <f>-3844000+168644474</f>
        <v>164800474</v>
      </c>
      <c r="J45" s="960">
        <v>164800474</v>
      </c>
      <c r="K45" s="1019"/>
      <c r="L45" s="959">
        <v>0</v>
      </c>
      <c r="M45" s="960">
        <v>0</v>
      </c>
      <c r="N45" s="960">
        <v>0</v>
      </c>
      <c r="O45" s="960">
        <v>0</v>
      </c>
      <c r="P45" s="1018">
        <f>I45-W45</f>
        <v>164800474</v>
      </c>
      <c r="Q45" s="958">
        <f>J45-X45</f>
        <v>164800474</v>
      </c>
      <c r="R45" s="982">
        <v>0</v>
      </c>
      <c r="S45" s="959">
        <v>0</v>
      </c>
      <c r="T45" s="960">
        <v>0</v>
      </c>
      <c r="U45" s="960">
        <v>0</v>
      </c>
      <c r="V45" s="960">
        <v>0</v>
      </c>
      <c r="W45" s="960">
        <v>0</v>
      </c>
      <c r="X45" s="960"/>
      <c r="Y45" s="720"/>
    </row>
    <row r="46" spans="1:25" ht="21.75" customHeight="1">
      <c r="A46" s="1032"/>
      <c r="B46" s="1034"/>
      <c r="C46" s="95" t="s">
        <v>325</v>
      </c>
      <c r="D46" s="604" t="s">
        <v>326</v>
      </c>
      <c r="E46" s="959"/>
      <c r="F46" s="960"/>
      <c r="G46" s="960"/>
      <c r="H46" s="960">
        <v>168644474</v>
      </c>
      <c r="I46" s="960"/>
      <c r="J46" s="960"/>
      <c r="K46" s="1019"/>
      <c r="L46" s="959"/>
      <c r="M46" s="960"/>
      <c r="N46" s="960"/>
      <c r="O46" s="1018">
        <f>H46-V46</f>
        <v>168644474</v>
      </c>
      <c r="P46" s="1018">
        <f>I46-W46</f>
        <v>0</v>
      </c>
      <c r="Q46" s="960"/>
      <c r="R46" s="982">
        <v>6000000</v>
      </c>
      <c r="S46" s="959">
        <v>0</v>
      </c>
      <c r="T46" s="960">
        <v>0</v>
      </c>
      <c r="U46" s="960">
        <v>0</v>
      </c>
      <c r="V46" s="960">
        <v>0</v>
      </c>
      <c r="W46" s="960">
        <v>0</v>
      </c>
      <c r="X46" s="960"/>
      <c r="Y46" s="720"/>
    </row>
    <row r="47" spans="1:25" ht="21.75" customHeight="1" thickBot="1">
      <c r="A47" s="1036"/>
      <c r="B47" s="1035" t="s">
        <v>351</v>
      </c>
      <c r="C47" s="1114" t="s">
        <v>499</v>
      </c>
      <c r="D47" s="1114"/>
      <c r="E47" s="959">
        <v>0</v>
      </c>
      <c r="F47" s="960">
        <v>0</v>
      </c>
      <c r="G47" s="960">
        <v>0</v>
      </c>
      <c r="H47" s="960">
        <v>0</v>
      </c>
      <c r="I47" s="960">
        <v>0</v>
      </c>
      <c r="J47" s="960"/>
      <c r="K47" s="961"/>
      <c r="L47" s="959">
        <v>0</v>
      </c>
      <c r="M47" s="960">
        <v>0</v>
      </c>
      <c r="N47" s="960">
        <v>0</v>
      </c>
      <c r="O47" s="960">
        <v>0</v>
      </c>
      <c r="P47" s="960">
        <v>0</v>
      </c>
      <c r="Q47" s="958"/>
      <c r="R47" s="980">
        <f>K47-Y47</f>
        <v>0</v>
      </c>
      <c r="S47" s="959">
        <v>0</v>
      </c>
      <c r="T47" s="960">
        <v>0</v>
      </c>
      <c r="U47" s="960">
        <v>0</v>
      </c>
      <c r="V47" s="960">
        <v>0</v>
      </c>
      <c r="W47" s="960">
        <v>0</v>
      </c>
      <c r="X47" s="960">
        <f>J47</f>
        <v>0</v>
      </c>
      <c r="Y47" s="720"/>
    </row>
    <row r="48" spans="1:25" ht="21.75" customHeight="1" hidden="1" thickBot="1">
      <c r="A48" s="1036"/>
      <c r="B48" s="1034"/>
      <c r="C48" s="1131"/>
      <c r="D48" s="1131"/>
      <c r="E48" s="547"/>
      <c r="F48" s="548"/>
      <c r="G48" s="548"/>
      <c r="H48" s="548"/>
      <c r="I48" s="548"/>
      <c r="J48" s="548"/>
      <c r="K48" s="721" t="e">
        <f>I48/H48</f>
        <v>#DIV/0!</v>
      </c>
      <c r="L48" s="547"/>
      <c r="M48" s="548"/>
      <c r="N48" s="548"/>
      <c r="O48" s="548"/>
      <c r="P48" s="548"/>
      <c r="Q48" s="548"/>
      <c r="R48" s="984"/>
      <c r="S48" s="547"/>
      <c r="T48" s="548"/>
      <c r="U48" s="548"/>
      <c r="V48" s="548"/>
      <c r="W48" s="548"/>
      <c r="X48" s="548"/>
      <c r="Y48" s="721"/>
    </row>
    <row r="49" spans="1:25" ht="21.75" customHeight="1" thickBot="1">
      <c r="A49" s="1033" t="s">
        <v>12</v>
      </c>
      <c r="B49" s="1108" t="s">
        <v>74</v>
      </c>
      <c r="C49" s="1108"/>
      <c r="D49" s="1108"/>
      <c r="E49" s="352">
        <f aca="true" t="shared" si="23" ref="E49:J49">E50+E51</f>
        <v>0</v>
      </c>
      <c r="F49" s="103">
        <f t="shared" si="23"/>
        <v>0</v>
      </c>
      <c r="G49" s="103">
        <f t="shared" si="23"/>
        <v>460000</v>
      </c>
      <c r="H49" s="103">
        <f t="shared" si="23"/>
        <v>460000</v>
      </c>
      <c r="I49" s="103">
        <f t="shared" si="23"/>
        <v>460000</v>
      </c>
      <c r="J49" s="103">
        <f t="shared" si="23"/>
        <v>460000</v>
      </c>
      <c r="K49" s="1010">
        <f>J49/I49</f>
        <v>1</v>
      </c>
      <c r="L49" s="352">
        <f>L50+L51</f>
        <v>0</v>
      </c>
      <c r="M49" s="103">
        <f>M50+M51</f>
        <v>0</v>
      </c>
      <c r="N49" s="103">
        <f>N50+N51</f>
        <v>460000</v>
      </c>
      <c r="O49" s="103">
        <f>O50+O51</f>
        <v>460000</v>
      </c>
      <c r="P49" s="103">
        <f>P50+P51</f>
        <v>460000</v>
      </c>
      <c r="Q49" s="103">
        <f aca="true" t="shared" si="24" ref="Q49:X49">Q50+Q51</f>
        <v>460000</v>
      </c>
      <c r="R49" s="822">
        <f t="shared" si="24"/>
        <v>0</v>
      </c>
      <c r="S49" s="352">
        <f t="shared" si="24"/>
        <v>0</v>
      </c>
      <c r="T49" s="103">
        <f>T50+T51</f>
        <v>0</v>
      </c>
      <c r="U49" s="103">
        <f>U50+U51</f>
        <v>0</v>
      </c>
      <c r="V49" s="103">
        <f>V50+V51</f>
        <v>0</v>
      </c>
      <c r="W49" s="103">
        <f>W50+W51</f>
        <v>0</v>
      </c>
      <c r="X49" s="103">
        <f t="shared" si="24"/>
        <v>0</v>
      </c>
      <c r="Y49" s="736"/>
    </row>
    <row r="50" spans="1:25" s="1038" customFormat="1" ht="21.75" customHeight="1">
      <c r="A50" s="1037"/>
      <c r="B50" s="1034" t="s">
        <v>44</v>
      </c>
      <c r="C50" s="1122" t="s">
        <v>338</v>
      </c>
      <c r="D50" s="1122"/>
      <c r="E50" s="968"/>
      <c r="F50" s="966"/>
      <c r="G50" s="966">
        <f>60000+200000</f>
        <v>260000</v>
      </c>
      <c r="H50" s="966">
        <f>60000+200000</f>
        <v>260000</v>
      </c>
      <c r="I50" s="966">
        <f>60000+200000</f>
        <v>260000</v>
      </c>
      <c r="J50" s="966">
        <v>260000</v>
      </c>
      <c r="K50" s="1019"/>
      <c r="L50" s="968"/>
      <c r="M50" s="966"/>
      <c r="N50" s="1018">
        <f aca="true" t="shared" si="25" ref="N50:P51">G50-U50</f>
        <v>260000</v>
      </c>
      <c r="O50" s="1018">
        <f t="shared" si="25"/>
        <v>260000</v>
      </c>
      <c r="P50" s="1018">
        <f t="shared" si="25"/>
        <v>260000</v>
      </c>
      <c r="Q50" s="958">
        <f>J50</f>
        <v>260000</v>
      </c>
      <c r="R50" s="980">
        <f>K50</f>
        <v>0</v>
      </c>
      <c r="S50" s="968">
        <v>0</v>
      </c>
      <c r="T50" s="966">
        <v>0</v>
      </c>
      <c r="U50" s="966">
        <v>0</v>
      </c>
      <c r="V50" s="966">
        <v>0</v>
      </c>
      <c r="W50" s="966">
        <v>0</v>
      </c>
      <c r="X50" s="966"/>
      <c r="Y50" s="740"/>
    </row>
    <row r="51" spans="1:25" s="1038" customFormat="1" ht="21.75" customHeight="1" thickBot="1">
      <c r="A51" s="1016"/>
      <c r="B51" s="89" t="s">
        <v>45</v>
      </c>
      <c r="C51" s="1114" t="s">
        <v>483</v>
      </c>
      <c r="D51" s="1114"/>
      <c r="E51" s="969"/>
      <c r="F51" s="970"/>
      <c r="G51" s="970">
        <v>200000</v>
      </c>
      <c r="H51" s="970">
        <v>200000</v>
      </c>
      <c r="I51" s="970">
        <v>200000</v>
      </c>
      <c r="J51" s="970">
        <v>200000</v>
      </c>
      <c r="K51" s="971"/>
      <c r="L51" s="969"/>
      <c r="M51" s="970"/>
      <c r="N51" s="1018">
        <f t="shared" si="25"/>
        <v>200000</v>
      </c>
      <c r="O51" s="1018">
        <f t="shared" si="25"/>
        <v>200000</v>
      </c>
      <c r="P51" s="1018">
        <f t="shared" si="25"/>
        <v>200000</v>
      </c>
      <c r="Q51" s="958">
        <f>J51</f>
        <v>200000</v>
      </c>
      <c r="R51" s="980">
        <f>K51</f>
        <v>0</v>
      </c>
      <c r="S51" s="969">
        <v>0</v>
      </c>
      <c r="T51" s="970">
        <v>0</v>
      </c>
      <c r="U51" s="970">
        <v>0</v>
      </c>
      <c r="V51" s="970">
        <v>0</v>
      </c>
      <c r="W51" s="970">
        <v>0</v>
      </c>
      <c r="X51" s="970"/>
      <c r="Y51" s="745"/>
    </row>
    <row r="52" spans="1:25" ht="21.75" customHeight="1" thickBot="1">
      <c r="A52" s="1033" t="s">
        <v>13</v>
      </c>
      <c r="B52" s="1108" t="s">
        <v>327</v>
      </c>
      <c r="C52" s="1108"/>
      <c r="D52" s="1108"/>
      <c r="E52" s="347">
        <f aca="true" t="shared" si="26" ref="E52:J52">SUM(E53:E54)</f>
        <v>33000000</v>
      </c>
      <c r="F52" s="284">
        <f t="shared" si="26"/>
        <v>33000000</v>
      </c>
      <c r="G52" s="284">
        <f t="shared" si="26"/>
        <v>33080000</v>
      </c>
      <c r="H52" s="284">
        <f t="shared" si="26"/>
        <v>33080000</v>
      </c>
      <c r="I52" s="284">
        <f t="shared" si="26"/>
        <v>33080000</v>
      </c>
      <c r="J52" s="284">
        <f t="shared" si="26"/>
        <v>31687000</v>
      </c>
      <c r="K52" s="1010">
        <f>J52/I52</f>
        <v>0.9578899637243047</v>
      </c>
      <c r="L52" s="347">
        <f>SUM(L53:L54)</f>
        <v>33000000</v>
      </c>
      <c r="M52" s="284">
        <f>SUM(M53:M54)</f>
        <v>33000000</v>
      </c>
      <c r="N52" s="284">
        <f>SUM(N53:N54)</f>
        <v>33080000</v>
      </c>
      <c r="O52" s="284">
        <f>SUM(O53:O54)</f>
        <v>33080000</v>
      </c>
      <c r="P52" s="284">
        <f>SUM(P53:P54)</f>
        <v>33080000</v>
      </c>
      <c r="Q52" s="284">
        <f aca="true" t="shared" si="27" ref="Q52:X52">SUM(Q53:Q54)</f>
        <v>31687000</v>
      </c>
      <c r="R52" s="818">
        <f t="shared" si="27"/>
        <v>2</v>
      </c>
      <c r="S52" s="347">
        <f t="shared" si="27"/>
        <v>0</v>
      </c>
      <c r="T52" s="284">
        <f>SUM(T53:T54)</f>
        <v>0</v>
      </c>
      <c r="U52" s="284">
        <f>SUM(U53:U54)</f>
        <v>0</v>
      </c>
      <c r="V52" s="284">
        <f>SUM(V53:V54)</f>
        <v>0</v>
      </c>
      <c r="W52" s="284">
        <f>SUM(W53:W54)</f>
        <v>0</v>
      </c>
      <c r="X52" s="284">
        <f t="shared" si="27"/>
        <v>0</v>
      </c>
      <c r="Y52" s="742"/>
    </row>
    <row r="53" spans="1:25" s="1009" customFormat="1" ht="21.75" customHeight="1">
      <c r="A53" s="1039"/>
      <c r="B53" s="95" t="s">
        <v>46</v>
      </c>
      <c r="C53" s="1122" t="s">
        <v>329</v>
      </c>
      <c r="D53" s="1122"/>
      <c r="E53" s="972">
        <v>33000000</v>
      </c>
      <c r="F53" s="958">
        <v>33000000</v>
      </c>
      <c r="G53" s="958">
        <f>33000000+80000</f>
        <v>33080000</v>
      </c>
      <c r="H53" s="958">
        <f>33000000+80000</f>
        <v>33080000</v>
      </c>
      <c r="I53" s="958">
        <f>33000000+80000</f>
        <v>33080000</v>
      </c>
      <c r="J53" s="958">
        <f>80000+31607000</f>
        <v>31687000</v>
      </c>
      <c r="K53" s="1019"/>
      <c r="L53" s="972">
        <v>33000000</v>
      </c>
      <c r="M53" s="958">
        <v>33000000</v>
      </c>
      <c r="N53" s="1018">
        <f>G53-U53</f>
        <v>33080000</v>
      </c>
      <c r="O53" s="1018">
        <f>H53-V53</f>
        <v>33080000</v>
      </c>
      <c r="P53" s="1018">
        <f>I53-W53</f>
        <v>33080000</v>
      </c>
      <c r="Q53" s="958">
        <f>J53</f>
        <v>31687000</v>
      </c>
      <c r="R53" s="980">
        <f>K53</f>
        <v>0</v>
      </c>
      <c r="S53" s="972">
        <v>0</v>
      </c>
      <c r="T53" s="958">
        <v>0</v>
      </c>
      <c r="U53" s="958">
        <v>0</v>
      </c>
      <c r="V53" s="958">
        <v>0</v>
      </c>
      <c r="W53" s="958">
        <v>0</v>
      </c>
      <c r="X53" s="958"/>
      <c r="Y53" s="748"/>
    </row>
    <row r="54" spans="1:25" ht="21.75" customHeight="1" thickBot="1">
      <c r="A54" s="1032"/>
      <c r="B54" s="98" t="s">
        <v>328</v>
      </c>
      <c r="C54" s="1113" t="s">
        <v>330</v>
      </c>
      <c r="D54" s="1113"/>
      <c r="E54" s="973">
        <v>0</v>
      </c>
      <c r="F54" s="974">
        <v>0</v>
      </c>
      <c r="G54" s="974">
        <v>0</v>
      </c>
      <c r="H54" s="974">
        <v>0</v>
      </c>
      <c r="I54" s="974">
        <v>0</v>
      </c>
      <c r="J54" s="974">
        <v>0</v>
      </c>
      <c r="K54" s="975"/>
      <c r="L54" s="973">
        <v>0</v>
      </c>
      <c r="M54" s="974">
        <v>0</v>
      </c>
      <c r="N54" s="974">
        <v>0</v>
      </c>
      <c r="O54" s="974">
        <v>0</v>
      </c>
      <c r="P54" s="974">
        <v>0</v>
      </c>
      <c r="Q54" s="974">
        <v>0</v>
      </c>
      <c r="R54" s="985">
        <v>2</v>
      </c>
      <c r="S54" s="973">
        <v>0</v>
      </c>
      <c r="T54" s="974">
        <v>0</v>
      </c>
      <c r="U54" s="974">
        <v>0</v>
      </c>
      <c r="V54" s="974">
        <v>0</v>
      </c>
      <c r="W54" s="974">
        <v>0</v>
      </c>
      <c r="X54" s="974"/>
      <c r="Y54" s="744"/>
    </row>
    <row r="55" spans="1:25" ht="21.75" customHeight="1" thickBot="1">
      <c r="A55" s="1033" t="s">
        <v>14</v>
      </c>
      <c r="B55" s="1123" t="s">
        <v>76</v>
      </c>
      <c r="C55" s="1123"/>
      <c r="D55" s="1123"/>
      <c r="E55" s="347">
        <f aca="true" t="shared" si="28" ref="E55:J55">E7+E21+E41+E49+E52+E32</f>
        <v>519654824</v>
      </c>
      <c r="F55" s="284">
        <f t="shared" si="28"/>
        <v>519654824</v>
      </c>
      <c r="G55" s="284">
        <f t="shared" si="28"/>
        <v>525020989</v>
      </c>
      <c r="H55" s="284">
        <f t="shared" si="28"/>
        <v>702351611</v>
      </c>
      <c r="I55" s="284">
        <f t="shared" si="28"/>
        <v>712869211</v>
      </c>
      <c r="J55" s="284">
        <f t="shared" si="28"/>
        <v>728837195</v>
      </c>
      <c r="K55" s="1010">
        <f>J55/I55</f>
        <v>1.022399598346519</v>
      </c>
      <c r="L55" s="347">
        <f>L7+L21+L41+L49+L52+L32</f>
        <v>498709342</v>
      </c>
      <c r="M55" s="284">
        <f>M7+M21+M41+M49+M52+M32</f>
        <v>496718839</v>
      </c>
      <c r="N55" s="284">
        <f>N7+N21+N41+N49+N52+N32</f>
        <v>502240261</v>
      </c>
      <c r="O55" s="284">
        <f>O7+O21+O41+O49+O52+O32</f>
        <v>679570880</v>
      </c>
      <c r="P55" s="284">
        <f>P7+P21+P41+P49+P52+P32</f>
        <v>690018477</v>
      </c>
      <c r="Q55" s="284">
        <f aca="true" t="shared" si="29" ref="Q55:X55">Q7+Q21+Q41+Q49+Q52+Q32</f>
        <v>708686564</v>
      </c>
      <c r="R55" s="818">
        <f t="shared" si="29"/>
        <v>106000012.9969271</v>
      </c>
      <c r="S55" s="347">
        <f t="shared" si="29"/>
        <v>20945482</v>
      </c>
      <c r="T55" s="284">
        <f>T7+T21+T41+T49+T52+T32</f>
        <v>22935985</v>
      </c>
      <c r="U55" s="284">
        <f>U7+U21+U41+U49+U52+U32</f>
        <v>22780728</v>
      </c>
      <c r="V55" s="284">
        <f>V7+V21+V41+V49+V52+V32</f>
        <v>22780731</v>
      </c>
      <c r="W55" s="284">
        <f>W7+W21+W41+W49+W52+W32</f>
        <v>22850734</v>
      </c>
      <c r="X55" s="284">
        <f t="shared" si="29"/>
        <v>20150631</v>
      </c>
      <c r="Y55" s="742">
        <f>W55/V55</f>
        <v>1.003072904025775</v>
      </c>
    </row>
    <row r="56" spans="1:25" ht="24" customHeight="1" thickBot="1">
      <c r="A56" s="96" t="s">
        <v>57</v>
      </c>
      <c r="B56" s="1108" t="s">
        <v>331</v>
      </c>
      <c r="C56" s="1108"/>
      <c r="D56" s="1108"/>
      <c r="E56" s="347">
        <f aca="true" t="shared" si="30" ref="E56:J56">SUM(E57:E59)</f>
        <v>144196013</v>
      </c>
      <c r="F56" s="284">
        <f t="shared" si="30"/>
        <v>144196013</v>
      </c>
      <c r="G56" s="284">
        <f t="shared" si="30"/>
        <v>144196013</v>
      </c>
      <c r="H56" s="284">
        <f t="shared" si="30"/>
        <v>144196013</v>
      </c>
      <c r="I56" s="284">
        <f t="shared" si="30"/>
        <v>144196013</v>
      </c>
      <c r="J56" s="284">
        <f t="shared" si="30"/>
        <v>153960393</v>
      </c>
      <c r="K56" s="1010">
        <f>J56/I56</f>
        <v>1.0677160193049167</v>
      </c>
      <c r="L56" s="347">
        <f>SUM(L57:L59)</f>
        <v>144196013</v>
      </c>
      <c r="M56" s="284">
        <f>SUM(M57:M59)</f>
        <v>144196013</v>
      </c>
      <c r="N56" s="284">
        <f>SUM(N57:N59)</f>
        <v>144196013</v>
      </c>
      <c r="O56" s="284">
        <f>SUM(O57:O59)</f>
        <v>144196013</v>
      </c>
      <c r="P56" s="284">
        <f>SUM(P57:P59)</f>
        <v>144196013</v>
      </c>
      <c r="Q56" s="284">
        <f aca="true" t="shared" si="31" ref="Q56:X56">SUM(Q57:Q59)</f>
        <v>153960393</v>
      </c>
      <c r="R56" s="818">
        <f t="shared" si="31"/>
        <v>0</v>
      </c>
      <c r="S56" s="347">
        <f t="shared" si="31"/>
        <v>0</v>
      </c>
      <c r="T56" s="284">
        <f>SUM(T57:T59)</f>
        <v>0</v>
      </c>
      <c r="U56" s="284">
        <f>SUM(U57:U59)</f>
        <v>0</v>
      </c>
      <c r="V56" s="284">
        <f>SUM(V57:V59)</f>
        <v>0</v>
      </c>
      <c r="W56" s="284">
        <f>SUM(W57:W59)</f>
        <v>0</v>
      </c>
      <c r="X56" s="284">
        <f t="shared" si="31"/>
        <v>0</v>
      </c>
      <c r="Y56" s="742"/>
    </row>
    <row r="57" spans="1:25" ht="21.75" customHeight="1">
      <c r="A57" s="1029"/>
      <c r="B57" s="95" t="s">
        <v>47</v>
      </c>
      <c r="C57" s="1122" t="s">
        <v>627</v>
      </c>
      <c r="D57" s="1122"/>
      <c r="E57" s="972"/>
      <c r="F57" s="958"/>
      <c r="G57" s="958"/>
      <c r="H57" s="958"/>
      <c r="I57" s="958"/>
      <c r="J57" s="958">
        <v>9764380</v>
      </c>
      <c r="K57" s="1019"/>
      <c r="L57" s="972"/>
      <c r="M57" s="958"/>
      <c r="N57" s="958"/>
      <c r="O57" s="958"/>
      <c r="P57" s="958"/>
      <c r="Q57" s="958">
        <f>J57</f>
        <v>9764380</v>
      </c>
      <c r="R57" s="980">
        <f>K57</f>
        <v>0</v>
      </c>
      <c r="S57" s="972">
        <v>0</v>
      </c>
      <c r="T57" s="958">
        <v>0</v>
      </c>
      <c r="U57" s="958">
        <v>0</v>
      </c>
      <c r="V57" s="958">
        <v>0</v>
      </c>
      <c r="W57" s="958">
        <v>0</v>
      </c>
      <c r="X57" s="958"/>
      <c r="Y57" s="748"/>
    </row>
    <row r="58" spans="1:25" ht="21.75" customHeight="1">
      <c r="A58" s="1016"/>
      <c r="B58" s="1035" t="s">
        <v>48</v>
      </c>
      <c r="C58" s="1122" t="s">
        <v>558</v>
      </c>
      <c r="D58" s="1122"/>
      <c r="E58" s="969">
        <v>28770000</v>
      </c>
      <c r="F58" s="970">
        <v>28770000</v>
      </c>
      <c r="G58" s="970">
        <v>28770000</v>
      </c>
      <c r="H58" s="970">
        <v>28770000</v>
      </c>
      <c r="I58" s="970">
        <v>28770000</v>
      </c>
      <c r="J58" s="969">
        <v>28770000</v>
      </c>
      <c r="K58" s="971"/>
      <c r="L58" s="969">
        <f>E58</f>
        <v>28770000</v>
      </c>
      <c r="M58" s="970">
        <f>F58</f>
        <v>28770000</v>
      </c>
      <c r="N58" s="1018">
        <f aca="true" t="shared" si="32" ref="N58:P59">G58-U58</f>
        <v>28770000</v>
      </c>
      <c r="O58" s="1018">
        <f t="shared" si="32"/>
        <v>28770000</v>
      </c>
      <c r="P58" s="1018">
        <f t="shared" si="32"/>
        <v>28770000</v>
      </c>
      <c r="Q58" s="958">
        <f>J58</f>
        <v>28770000</v>
      </c>
      <c r="R58" s="986"/>
      <c r="S58" s="969">
        <v>0</v>
      </c>
      <c r="T58" s="970">
        <v>0</v>
      </c>
      <c r="U58" s="970">
        <v>0</v>
      </c>
      <c r="V58" s="970">
        <v>0</v>
      </c>
      <c r="W58" s="970">
        <v>0</v>
      </c>
      <c r="X58" s="970"/>
      <c r="Y58" s="745"/>
    </row>
    <row r="59" spans="1:25" ht="21.75" customHeight="1" thickBot="1">
      <c r="A59" s="1016"/>
      <c r="B59" s="1035" t="s">
        <v>75</v>
      </c>
      <c r="C59" s="1122" t="s">
        <v>332</v>
      </c>
      <c r="D59" s="1122"/>
      <c r="E59" s="969">
        <v>115426013</v>
      </c>
      <c r="F59" s="970">
        <v>115426013</v>
      </c>
      <c r="G59" s="970">
        <v>115426013</v>
      </c>
      <c r="H59" s="970">
        <v>115426013</v>
      </c>
      <c r="I59" s="970">
        <v>115426013</v>
      </c>
      <c r="J59" s="969">
        <v>115426013</v>
      </c>
      <c r="K59" s="1019"/>
      <c r="L59" s="969">
        <v>115426013</v>
      </c>
      <c r="M59" s="970">
        <v>115426013</v>
      </c>
      <c r="N59" s="1018">
        <f t="shared" si="32"/>
        <v>115426013</v>
      </c>
      <c r="O59" s="1018">
        <f t="shared" si="32"/>
        <v>115426013</v>
      </c>
      <c r="P59" s="1018">
        <f t="shared" si="32"/>
        <v>115426013</v>
      </c>
      <c r="Q59" s="958">
        <f>J59</f>
        <v>115426013</v>
      </c>
      <c r="R59" s="980">
        <f>K59</f>
        <v>0</v>
      </c>
      <c r="S59" s="969">
        <v>0</v>
      </c>
      <c r="T59" s="970">
        <v>0</v>
      </c>
      <c r="U59" s="970">
        <v>0</v>
      </c>
      <c r="V59" s="970">
        <v>0</v>
      </c>
      <c r="W59" s="970">
        <v>0</v>
      </c>
      <c r="X59" s="970"/>
      <c r="Y59" s="745"/>
    </row>
    <row r="60" spans="1:25" ht="35.25" customHeight="1" thickBot="1">
      <c r="A60" s="1033" t="s">
        <v>58</v>
      </c>
      <c r="B60" s="1179" t="s">
        <v>77</v>
      </c>
      <c r="C60" s="1179"/>
      <c r="D60" s="1179"/>
      <c r="E60" s="347">
        <f aca="true" t="shared" si="33" ref="E60:J60">E55+E56</f>
        <v>663850837</v>
      </c>
      <c r="F60" s="284">
        <f t="shared" si="33"/>
        <v>663850837</v>
      </c>
      <c r="G60" s="284">
        <f t="shared" si="33"/>
        <v>669217002</v>
      </c>
      <c r="H60" s="284">
        <f t="shared" si="33"/>
        <v>846547624</v>
      </c>
      <c r="I60" s="284">
        <f t="shared" si="33"/>
        <v>857065224</v>
      </c>
      <c r="J60" s="284">
        <f t="shared" si="33"/>
        <v>882797588</v>
      </c>
      <c r="K60" s="1010">
        <f>J60/I60</f>
        <v>1.0300238106499116</v>
      </c>
      <c r="L60" s="347">
        <f>L55+L56</f>
        <v>642905355</v>
      </c>
      <c r="M60" s="284">
        <f>M55+M56</f>
        <v>640914852</v>
      </c>
      <c r="N60" s="284">
        <f>N55+N56</f>
        <v>646436274</v>
      </c>
      <c r="O60" s="284">
        <f>O55+O56</f>
        <v>823766893</v>
      </c>
      <c r="P60" s="284">
        <f>P55+P56</f>
        <v>834214490</v>
      </c>
      <c r="Q60" s="284">
        <f aca="true" t="shared" si="34" ref="Q60:X60">Q55+Q56</f>
        <v>862646957</v>
      </c>
      <c r="R60" s="818">
        <f t="shared" si="34"/>
        <v>106000012.9969271</v>
      </c>
      <c r="S60" s="347">
        <f t="shared" si="34"/>
        <v>20945482</v>
      </c>
      <c r="T60" s="284">
        <f>T55+T56</f>
        <v>22935985</v>
      </c>
      <c r="U60" s="284">
        <f>U55+U56</f>
        <v>22780728</v>
      </c>
      <c r="V60" s="284">
        <f>V55+V56</f>
        <v>22780731</v>
      </c>
      <c r="W60" s="284">
        <f>W55+W56</f>
        <v>22850734</v>
      </c>
      <c r="X60" s="284">
        <f t="shared" si="34"/>
        <v>20150631</v>
      </c>
      <c r="Y60" s="742">
        <f>W60/V60</f>
        <v>1.003072904025775</v>
      </c>
    </row>
    <row r="61" spans="1:25" ht="21.75" customHeight="1" hidden="1" thickBot="1">
      <c r="A61" s="1180" t="s">
        <v>241</v>
      </c>
      <c r="B61" s="1181"/>
      <c r="C61" s="1181"/>
      <c r="D61" s="1181"/>
      <c r="E61" s="1040"/>
      <c r="F61" s="1041"/>
      <c r="G61" s="1041"/>
      <c r="H61" s="1041"/>
      <c r="I61" s="1041"/>
      <c r="J61" s="1041"/>
      <c r="K61" s="1010" t="e">
        <f>J61/I61</f>
        <v>#DIV/0!</v>
      </c>
      <c r="L61" s="1040"/>
      <c r="M61" s="1041"/>
      <c r="N61" s="1041"/>
      <c r="O61" s="1041"/>
      <c r="P61" s="1041"/>
      <c r="Q61" s="1041"/>
      <c r="R61" s="1042"/>
      <c r="S61" s="1040"/>
      <c r="T61" s="1041"/>
      <c r="U61" s="1041"/>
      <c r="V61" s="1041"/>
      <c r="W61" s="1041"/>
      <c r="X61" s="1041"/>
      <c r="Y61" s="1043" t="e">
        <f>W61/V61</f>
        <v>#DIV/0!</v>
      </c>
    </row>
    <row r="62" spans="1:25" ht="21.75" customHeight="1" thickBot="1">
      <c r="A62" s="1178" t="s">
        <v>7</v>
      </c>
      <c r="B62" s="1179"/>
      <c r="C62" s="1179"/>
      <c r="D62" s="1179"/>
      <c r="E62" s="1044">
        <f aca="true" t="shared" si="35" ref="E62:J62">E60+E61</f>
        <v>663850837</v>
      </c>
      <c r="F62" s="1045">
        <f t="shared" si="35"/>
        <v>663850837</v>
      </c>
      <c r="G62" s="1045">
        <f t="shared" si="35"/>
        <v>669217002</v>
      </c>
      <c r="H62" s="1045">
        <f t="shared" si="35"/>
        <v>846547624</v>
      </c>
      <c r="I62" s="1045">
        <f t="shared" si="35"/>
        <v>857065224</v>
      </c>
      <c r="J62" s="1045">
        <f t="shared" si="35"/>
        <v>882797588</v>
      </c>
      <c r="K62" s="1010">
        <f>J62/I62</f>
        <v>1.0300238106499116</v>
      </c>
      <c r="L62" s="1044">
        <f>L60+L61</f>
        <v>642905355</v>
      </c>
      <c r="M62" s="1045">
        <f>M60+M61</f>
        <v>640914852</v>
      </c>
      <c r="N62" s="1045">
        <f>N60+N61</f>
        <v>646436274</v>
      </c>
      <c r="O62" s="1045">
        <f>O60+O61</f>
        <v>823766893</v>
      </c>
      <c r="P62" s="1045">
        <f>P60+P61</f>
        <v>834214490</v>
      </c>
      <c r="Q62" s="1045">
        <f aca="true" t="shared" si="36" ref="Q62:X62">Q60+Q61</f>
        <v>862646957</v>
      </c>
      <c r="R62" s="1046">
        <f t="shared" si="36"/>
        <v>106000012.9969271</v>
      </c>
      <c r="S62" s="1044">
        <f t="shared" si="36"/>
        <v>20945482</v>
      </c>
      <c r="T62" s="1045">
        <f>T60+T61</f>
        <v>22935985</v>
      </c>
      <c r="U62" s="1045">
        <f>U60+U61</f>
        <v>22780728</v>
      </c>
      <c r="V62" s="1045">
        <f>V60+V61</f>
        <v>22780731</v>
      </c>
      <c r="W62" s="1045">
        <f>W60+W61</f>
        <v>22850734</v>
      </c>
      <c r="X62" s="1045">
        <f t="shared" si="36"/>
        <v>20150631</v>
      </c>
      <c r="Y62" s="1047">
        <f>W62/V62</f>
        <v>1.003072904025775</v>
      </c>
    </row>
    <row r="63" spans="1:25" ht="21.75" customHeight="1">
      <c r="A63" s="1048"/>
      <c r="B63" s="1049"/>
      <c r="C63" s="1049"/>
      <c r="D63" s="1049"/>
      <c r="E63" s="1050"/>
      <c r="F63" s="1050"/>
      <c r="G63" s="1051"/>
      <c r="H63" s="1050"/>
      <c r="I63" s="1050"/>
      <c r="J63" s="1051"/>
      <c r="K63" s="1050"/>
      <c r="L63" s="1050"/>
      <c r="M63" s="1050"/>
      <c r="N63" s="1050"/>
      <c r="O63" s="1051"/>
      <c r="P63" s="1050"/>
      <c r="Q63" s="1050"/>
      <c r="R63" s="1050"/>
      <c r="S63" s="1050"/>
      <c r="T63" s="1050"/>
      <c r="U63" s="1050"/>
      <c r="V63" s="1050"/>
      <c r="W63" s="1050"/>
      <c r="X63" s="1050"/>
      <c r="Y63" s="1050"/>
    </row>
    <row r="64" spans="1:22" ht="21.75" customHeight="1">
      <c r="A64" s="1052"/>
      <c r="B64" s="1053"/>
      <c r="C64" s="1053"/>
      <c r="D64" s="1053"/>
      <c r="E64" s="999"/>
      <c r="F64" s="999"/>
      <c r="G64" s="1038"/>
      <c r="H64" s="999"/>
      <c r="K64" s="999"/>
      <c r="L64" s="1038"/>
      <c r="T64" s="999"/>
      <c r="U64" s="999"/>
      <c r="V64" s="999"/>
    </row>
    <row r="65" spans="1:22" ht="35.25" customHeight="1">
      <c r="A65" s="1052"/>
      <c r="B65" s="1053"/>
      <c r="C65" s="1053"/>
      <c r="D65" s="1053"/>
      <c r="E65" s="1054" t="str">
        <f>IF(E62='4.sz.m.ÖNK kiadás'!E39," ","HIBA - eltérő összesen")</f>
        <v> </v>
      </c>
      <c r="F65" s="1054" t="str">
        <f>IF(F62='4.sz.m.ÖNK kiadás'!F39," ","HIBA - eltérő összesen")</f>
        <v> </v>
      </c>
      <c r="G65" s="1054"/>
      <c r="H65" s="1054"/>
      <c r="I65" s="1054"/>
      <c r="J65" s="1054"/>
      <c r="K65" s="999"/>
      <c r="L65" s="999"/>
      <c r="M65" s="999"/>
      <c r="N65" s="999"/>
      <c r="P65" s="999"/>
      <c r="Q65" s="999"/>
      <c r="R65" s="999"/>
      <c r="T65" s="999"/>
      <c r="U65" s="999"/>
      <c r="V65" s="999"/>
    </row>
    <row r="66" spans="1:22" ht="35.25" customHeight="1">
      <c r="A66" s="1052"/>
      <c r="B66" s="1053"/>
      <c r="C66" s="1053"/>
      <c r="D66" s="1053"/>
      <c r="E66" s="1055" t="str">
        <f>IF(L62+S62=E62," ","HIBA-nincs egyenlőség")</f>
        <v> </v>
      </c>
      <c r="F66" s="1055" t="str">
        <f>IF(M62+T62=F62," ","HIBA-nincs egyenlőség")</f>
        <v> </v>
      </c>
      <c r="G66" s="1055"/>
      <c r="H66" s="1055"/>
      <c r="I66" s="1055"/>
      <c r="J66" s="1055"/>
      <c r="K66" s="1055"/>
      <c r="L66" s="999"/>
      <c r="M66" s="999"/>
      <c r="N66" s="999"/>
      <c r="O66" s="999"/>
      <c r="P66" s="999"/>
      <c r="Q66" s="999"/>
      <c r="R66" s="999"/>
      <c r="T66" s="999"/>
      <c r="U66" s="999"/>
      <c r="V66" s="999"/>
    </row>
    <row r="67" spans="5:22" ht="12.75">
      <c r="E67" s="999"/>
      <c r="F67" s="999"/>
      <c r="G67" s="999"/>
      <c r="H67" s="999"/>
      <c r="I67" s="999"/>
      <c r="J67" s="999"/>
      <c r="K67" s="999"/>
      <c r="L67" s="999"/>
      <c r="M67" s="999"/>
      <c r="N67" s="999"/>
      <c r="O67" s="999"/>
      <c r="P67" s="999"/>
      <c r="Q67" s="999"/>
      <c r="R67" s="999"/>
      <c r="T67" s="999"/>
      <c r="U67" s="999"/>
      <c r="V67" s="999"/>
    </row>
    <row r="68" spans="5:22" ht="12.75">
      <c r="E68" s="999"/>
      <c r="F68" s="999"/>
      <c r="G68" s="999"/>
      <c r="H68" s="999"/>
      <c r="I68" s="999"/>
      <c r="J68" s="999"/>
      <c r="K68" s="999"/>
      <c r="L68" s="999"/>
      <c r="M68" s="999"/>
      <c r="N68" s="999"/>
      <c r="O68" s="999"/>
      <c r="P68" s="999"/>
      <c r="Q68" s="999"/>
      <c r="R68" s="999"/>
      <c r="T68" s="999"/>
      <c r="U68" s="999"/>
      <c r="V68" s="999"/>
    </row>
    <row r="69" spans="5:22" ht="12.75">
      <c r="E69" s="999"/>
      <c r="F69" s="999"/>
      <c r="G69" s="999"/>
      <c r="H69" s="999"/>
      <c r="I69" s="999"/>
      <c r="J69" s="999"/>
      <c r="K69" s="999"/>
      <c r="L69" s="999"/>
      <c r="M69" s="999"/>
      <c r="N69" s="999"/>
      <c r="O69" s="999"/>
      <c r="P69" s="999"/>
      <c r="Q69" s="999"/>
      <c r="R69" s="999"/>
      <c r="T69" s="999"/>
      <c r="U69" s="999"/>
      <c r="V69" s="999"/>
    </row>
    <row r="70" spans="4:22" ht="12.75">
      <c r="D70" s="1058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T70" s="999"/>
      <c r="U70" s="999"/>
      <c r="V70" s="999"/>
    </row>
    <row r="71" spans="4:22" ht="48.75" customHeight="1">
      <c r="D71" s="1058"/>
      <c r="E71" s="999"/>
      <c r="F71" s="999"/>
      <c r="G71" s="999"/>
      <c r="H71" s="999"/>
      <c r="I71" s="999"/>
      <c r="J71" s="999"/>
      <c r="K71" s="999"/>
      <c r="L71" s="999"/>
      <c r="M71" s="999"/>
      <c r="N71" s="999"/>
      <c r="O71" s="999"/>
      <c r="P71" s="999"/>
      <c r="Q71" s="999"/>
      <c r="R71" s="999"/>
      <c r="T71" s="999"/>
      <c r="U71" s="999"/>
      <c r="V71" s="999"/>
    </row>
    <row r="72" spans="4:22" ht="46.5" customHeight="1">
      <c r="D72" s="1058"/>
      <c r="E72" s="999"/>
      <c r="F72" s="999"/>
      <c r="G72" s="999"/>
      <c r="H72" s="999"/>
      <c r="I72" s="999"/>
      <c r="J72" s="999"/>
      <c r="K72" s="999"/>
      <c r="L72" s="999"/>
      <c r="M72" s="999"/>
      <c r="N72" s="999"/>
      <c r="O72" s="999"/>
      <c r="P72" s="999"/>
      <c r="Q72" s="999"/>
      <c r="R72" s="999"/>
      <c r="T72" s="999"/>
      <c r="U72" s="999"/>
      <c r="V72" s="999"/>
    </row>
    <row r="73" spans="5:22" ht="41.25" customHeight="1">
      <c r="E73" s="999"/>
      <c r="F73" s="999"/>
      <c r="G73" s="999"/>
      <c r="H73" s="999"/>
      <c r="I73" s="999"/>
      <c r="J73" s="999"/>
      <c r="K73" s="999"/>
      <c r="L73" s="999"/>
      <c r="M73" s="999"/>
      <c r="N73" s="999"/>
      <c r="O73" s="999"/>
      <c r="P73" s="999"/>
      <c r="Q73" s="999"/>
      <c r="R73" s="999"/>
      <c r="T73" s="999"/>
      <c r="U73" s="999"/>
      <c r="V73" s="999"/>
    </row>
    <row r="74" spans="5:22" ht="12.75">
      <c r="E74" s="999"/>
      <c r="F74" s="999"/>
      <c r="G74" s="999"/>
      <c r="H74" s="999"/>
      <c r="I74" s="999"/>
      <c r="J74" s="999"/>
      <c r="K74" s="999"/>
      <c r="L74" s="999"/>
      <c r="M74" s="999"/>
      <c r="N74" s="999"/>
      <c r="O74" s="999"/>
      <c r="P74" s="999"/>
      <c r="Q74" s="999"/>
      <c r="R74" s="999"/>
      <c r="T74" s="999"/>
      <c r="U74" s="999"/>
      <c r="V74" s="999"/>
    </row>
    <row r="75" spans="5:22" ht="12.75">
      <c r="E75" s="999"/>
      <c r="F75" s="999"/>
      <c r="G75" s="999"/>
      <c r="H75" s="999"/>
      <c r="I75" s="999"/>
      <c r="J75" s="999"/>
      <c r="K75" s="999"/>
      <c r="L75" s="999"/>
      <c r="M75" s="999"/>
      <c r="N75" s="999"/>
      <c r="O75" s="999"/>
      <c r="P75" s="999"/>
      <c r="Q75" s="999"/>
      <c r="R75" s="999"/>
      <c r="T75" s="999"/>
      <c r="U75" s="999"/>
      <c r="V75" s="999"/>
    </row>
    <row r="76" spans="5:22" ht="12.75">
      <c r="E76" s="999"/>
      <c r="F76" s="999"/>
      <c r="G76" s="999"/>
      <c r="H76" s="999"/>
      <c r="I76" s="999"/>
      <c r="J76" s="999"/>
      <c r="K76" s="999"/>
      <c r="L76" s="999"/>
      <c r="M76" s="999"/>
      <c r="N76" s="999"/>
      <c r="O76" s="999"/>
      <c r="P76" s="999"/>
      <c r="Q76" s="999"/>
      <c r="R76" s="999"/>
      <c r="T76" s="999"/>
      <c r="U76" s="999"/>
      <c r="V76" s="999"/>
    </row>
    <row r="77" spans="5:22" ht="12.75">
      <c r="E77" s="999"/>
      <c r="F77" s="999"/>
      <c r="G77" s="999"/>
      <c r="H77" s="999"/>
      <c r="I77" s="999"/>
      <c r="J77" s="999"/>
      <c r="K77" s="999"/>
      <c r="L77" s="999"/>
      <c r="M77" s="999"/>
      <c r="N77" s="999"/>
      <c r="O77" s="999"/>
      <c r="P77" s="999"/>
      <c r="Q77" s="999"/>
      <c r="R77" s="999"/>
      <c r="T77" s="999"/>
      <c r="U77" s="999"/>
      <c r="V77" s="999"/>
    </row>
    <row r="78" spans="5:22" ht="12.75">
      <c r="E78" s="999"/>
      <c r="F78" s="999"/>
      <c r="G78" s="999"/>
      <c r="H78" s="999"/>
      <c r="I78" s="999"/>
      <c r="J78" s="999"/>
      <c r="K78" s="999"/>
      <c r="L78" s="999"/>
      <c r="M78" s="999"/>
      <c r="N78" s="999"/>
      <c r="O78" s="999"/>
      <c r="P78" s="999"/>
      <c r="Q78" s="999"/>
      <c r="R78" s="999"/>
      <c r="T78" s="999"/>
      <c r="U78" s="999"/>
      <c r="V78" s="999"/>
    </row>
    <row r="79" spans="5:22" ht="12.75">
      <c r="E79" s="999"/>
      <c r="F79" s="999"/>
      <c r="G79" s="999"/>
      <c r="H79" s="999"/>
      <c r="I79" s="999"/>
      <c r="J79" s="999"/>
      <c r="K79" s="999"/>
      <c r="L79" s="999"/>
      <c r="M79" s="999"/>
      <c r="N79" s="999"/>
      <c r="O79" s="999"/>
      <c r="P79" s="999"/>
      <c r="Q79" s="999"/>
      <c r="R79" s="999"/>
      <c r="T79" s="999"/>
      <c r="U79" s="999"/>
      <c r="V79" s="999"/>
    </row>
    <row r="80" spans="5:22" ht="12.75">
      <c r="E80" s="999"/>
      <c r="F80" s="999"/>
      <c r="G80" s="999"/>
      <c r="H80" s="999"/>
      <c r="I80" s="999"/>
      <c r="J80" s="999"/>
      <c r="K80" s="999"/>
      <c r="L80" s="999"/>
      <c r="M80" s="999"/>
      <c r="N80" s="999"/>
      <c r="O80" s="999"/>
      <c r="P80" s="999"/>
      <c r="Q80" s="999"/>
      <c r="R80" s="999"/>
      <c r="T80" s="999"/>
      <c r="U80" s="999"/>
      <c r="V80" s="999"/>
    </row>
    <row r="81" spans="5:22" ht="12.75">
      <c r="E81" s="999"/>
      <c r="F81" s="999"/>
      <c r="G81" s="999"/>
      <c r="H81" s="999"/>
      <c r="I81" s="999"/>
      <c r="J81" s="999"/>
      <c r="K81" s="999"/>
      <c r="L81" s="999"/>
      <c r="M81" s="999"/>
      <c r="N81" s="999"/>
      <c r="O81" s="999"/>
      <c r="P81" s="999"/>
      <c r="Q81" s="999"/>
      <c r="R81" s="999"/>
      <c r="T81" s="999"/>
      <c r="U81" s="999"/>
      <c r="V81" s="999"/>
    </row>
    <row r="82" spans="5:22" ht="12.75">
      <c r="E82" s="999"/>
      <c r="F82" s="999"/>
      <c r="G82" s="999"/>
      <c r="H82" s="999"/>
      <c r="I82" s="999"/>
      <c r="J82" s="999"/>
      <c r="K82" s="999"/>
      <c r="L82" s="999"/>
      <c r="M82" s="999"/>
      <c r="N82" s="999"/>
      <c r="O82" s="999"/>
      <c r="P82" s="999"/>
      <c r="Q82" s="999"/>
      <c r="R82" s="999"/>
      <c r="T82" s="999"/>
      <c r="U82" s="999"/>
      <c r="V82" s="999"/>
    </row>
    <row r="83" spans="5:22" ht="12.75">
      <c r="E83" s="999"/>
      <c r="F83" s="999"/>
      <c r="G83" s="999"/>
      <c r="H83" s="999"/>
      <c r="I83" s="999"/>
      <c r="J83" s="999"/>
      <c r="K83" s="999"/>
      <c r="L83" s="999"/>
      <c r="M83" s="999"/>
      <c r="N83" s="999"/>
      <c r="O83" s="999"/>
      <c r="P83" s="999"/>
      <c r="Q83" s="999"/>
      <c r="R83" s="999"/>
      <c r="T83" s="999"/>
      <c r="U83" s="999"/>
      <c r="V83" s="999"/>
    </row>
    <row r="84" spans="5:22" ht="12.75">
      <c r="E84" s="999"/>
      <c r="F84" s="999"/>
      <c r="G84" s="999"/>
      <c r="H84" s="999"/>
      <c r="I84" s="999"/>
      <c r="J84" s="999"/>
      <c r="K84" s="999"/>
      <c r="L84" s="999"/>
      <c r="M84" s="999"/>
      <c r="N84" s="999"/>
      <c r="O84" s="999"/>
      <c r="P84" s="999"/>
      <c r="Q84" s="999"/>
      <c r="R84" s="999"/>
      <c r="T84" s="999"/>
      <c r="U84" s="999"/>
      <c r="V84" s="999"/>
    </row>
    <row r="85" spans="5:22" ht="12.75">
      <c r="E85" s="999"/>
      <c r="F85" s="999"/>
      <c r="G85" s="999"/>
      <c r="H85" s="999"/>
      <c r="I85" s="999"/>
      <c r="J85" s="999"/>
      <c r="K85" s="999"/>
      <c r="L85" s="999"/>
      <c r="M85" s="999"/>
      <c r="N85" s="999"/>
      <c r="O85" s="999"/>
      <c r="P85" s="999"/>
      <c r="Q85" s="999"/>
      <c r="R85" s="999"/>
      <c r="T85" s="999"/>
      <c r="U85" s="999"/>
      <c r="V85" s="999"/>
    </row>
    <row r="86" spans="5:22" ht="12.75">
      <c r="E86" s="999"/>
      <c r="F86" s="999"/>
      <c r="G86" s="999"/>
      <c r="H86" s="999"/>
      <c r="I86" s="999"/>
      <c r="J86" s="999"/>
      <c r="K86" s="999"/>
      <c r="L86" s="999"/>
      <c r="M86" s="999"/>
      <c r="N86" s="999"/>
      <c r="O86" s="999"/>
      <c r="P86" s="999"/>
      <c r="Q86" s="999"/>
      <c r="R86" s="999"/>
      <c r="T86" s="999"/>
      <c r="U86" s="999"/>
      <c r="V86" s="999"/>
    </row>
    <row r="87" spans="5:22" ht="12.75">
      <c r="E87" s="999"/>
      <c r="F87" s="999"/>
      <c r="G87" s="999"/>
      <c r="H87" s="999"/>
      <c r="I87" s="999"/>
      <c r="J87" s="999"/>
      <c r="K87" s="999"/>
      <c r="L87" s="999"/>
      <c r="M87" s="999"/>
      <c r="N87" s="999"/>
      <c r="O87" s="999"/>
      <c r="P87" s="999"/>
      <c r="Q87" s="999"/>
      <c r="R87" s="999"/>
      <c r="T87" s="999"/>
      <c r="U87" s="999"/>
      <c r="V87" s="999"/>
    </row>
    <row r="88" spans="5:22" ht="12.75">
      <c r="E88" s="999"/>
      <c r="F88" s="999"/>
      <c r="G88" s="999"/>
      <c r="H88" s="999"/>
      <c r="I88" s="999"/>
      <c r="J88" s="999"/>
      <c r="K88" s="999"/>
      <c r="L88" s="999"/>
      <c r="M88" s="999"/>
      <c r="N88" s="999"/>
      <c r="O88" s="999"/>
      <c r="P88" s="999"/>
      <c r="Q88" s="999"/>
      <c r="R88" s="999"/>
      <c r="T88" s="999"/>
      <c r="U88" s="999"/>
      <c r="V88" s="999"/>
    </row>
    <row r="89" spans="5:22" ht="12.75">
      <c r="E89" s="999"/>
      <c r="F89" s="999"/>
      <c r="G89" s="999"/>
      <c r="H89" s="999"/>
      <c r="I89" s="999"/>
      <c r="J89" s="999"/>
      <c r="K89" s="999"/>
      <c r="L89" s="999"/>
      <c r="M89" s="999"/>
      <c r="N89" s="999"/>
      <c r="O89" s="999"/>
      <c r="P89" s="999"/>
      <c r="Q89" s="999"/>
      <c r="R89" s="999"/>
      <c r="T89" s="999"/>
      <c r="U89" s="999"/>
      <c r="V89" s="999"/>
    </row>
    <row r="90" spans="5:22" ht="12.75">
      <c r="E90" s="999"/>
      <c r="F90" s="999"/>
      <c r="G90" s="999"/>
      <c r="H90" s="999"/>
      <c r="I90" s="999"/>
      <c r="J90" s="999"/>
      <c r="K90" s="999"/>
      <c r="L90" s="999"/>
      <c r="M90" s="999"/>
      <c r="N90" s="999"/>
      <c r="O90" s="999"/>
      <c r="P90" s="999"/>
      <c r="Q90" s="999"/>
      <c r="R90" s="999"/>
      <c r="T90" s="999"/>
      <c r="U90" s="999"/>
      <c r="V90" s="999"/>
    </row>
    <row r="91" spans="5:22" ht="12.75">
      <c r="E91" s="999"/>
      <c r="F91" s="999"/>
      <c r="G91" s="999"/>
      <c r="H91" s="999"/>
      <c r="I91" s="999"/>
      <c r="J91" s="999"/>
      <c r="K91" s="999"/>
      <c r="L91" s="999"/>
      <c r="M91" s="999"/>
      <c r="N91" s="999"/>
      <c r="O91" s="999"/>
      <c r="P91" s="999"/>
      <c r="Q91" s="999"/>
      <c r="R91" s="999"/>
      <c r="T91" s="999"/>
      <c r="U91" s="999"/>
      <c r="V91" s="999"/>
    </row>
    <row r="92" spans="5:22" ht="12.75">
      <c r="E92" s="999"/>
      <c r="F92" s="999"/>
      <c r="G92" s="999"/>
      <c r="H92" s="999"/>
      <c r="I92" s="999"/>
      <c r="J92" s="999"/>
      <c r="K92" s="999"/>
      <c r="L92" s="999"/>
      <c r="M92" s="999"/>
      <c r="N92" s="999"/>
      <c r="O92" s="999"/>
      <c r="P92" s="999"/>
      <c r="Q92" s="999"/>
      <c r="R92" s="999"/>
      <c r="T92" s="999"/>
      <c r="U92" s="999"/>
      <c r="V92" s="999"/>
    </row>
    <row r="93" spans="5:22" ht="12.75">
      <c r="E93" s="999"/>
      <c r="F93" s="999"/>
      <c r="G93" s="999"/>
      <c r="H93" s="999"/>
      <c r="I93" s="999"/>
      <c r="J93" s="999"/>
      <c r="K93" s="999"/>
      <c r="L93" s="999"/>
      <c r="M93" s="999"/>
      <c r="N93" s="999"/>
      <c r="O93" s="999"/>
      <c r="P93" s="999"/>
      <c r="Q93" s="999"/>
      <c r="R93" s="999"/>
      <c r="T93" s="999"/>
      <c r="U93" s="999"/>
      <c r="V93" s="999"/>
    </row>
    <row r="94" spans="5:22" ht="12.75">
      <c r="E94" s="999"/>
      <c r="F94" s="999"/>
      <c r="G94" s="999"/>
      <c r="H94" s="999"/>
      <c r="I94" s="999"/>
      <c r="J94" s="999"/>
      <c r="K94" s="999"/>
      <c r="L94" s="999"/>
      <c r="M94" s="999"/>
      <c r="N94" s="999"/>
      <c r="O94" s="999"/>
      <c r="P94" s="999"/>
      <c r="Q94" s="999"/>
      <c r="R94" s="999"/>
      <c r="T94" s="999"/>
      <c r="U94" s="999"/>
      <c r="V94" s="999"/>
    </row>
    <row r="95" spans="5:22" ht="12.75">
      <c r="E95" s="999"/>
      <c r="F95" s="999"/>
      <c r="G95" s="999"/>
      <c r="H95" s="999"/>
      <c r="I95" s="999"/>
      <c r="J95" s="999"/>
      <c r="K95" s="999"/>
      <c r="L95" s="999"/>
      <c r="M95" s="999"/>
      <c r="N95" s="999"/>
      <c r="O95" s="999"/>
      <c r="P95" s="999"/>
      <c r="Q95" s="999"/>
      <c r="R95" s="999"/>
      <c r="T95" s="999"/>
      <c r="U95" s="999"/>
      <c r="V95" s="999"/>
    </row>
    <row r="96" spans="5:22" ht="12.75">
      <c r="E96" s="999"/>
      <c r="F96" s="999"/>
      <c r="G96" s="999"/>
      <c r="H96" s="999"/>
      <c r="I96" s="999"/>
      <c r="J96" s="999"/>
      <c r="K96" s="999"/>
      <c r="L96" s="999"/>
      <c r="M96" s="999"/>
      <c r="N96" s="999"/>
      <c r="O96" s="999"/>
      <c r="P96" s="999"/>
      <c r="Q96" s="999"/>
      <c r="R96" s="999"/>
      <c r="T96" s="999"/>
      <c r="U96" s="999"/>
      <c r="V96" s="999"/>
    </row>
    <row r="97" spans="5:22" ht="12.75">
      <c r="E97" s="999"/>
      <c r="F97" s="999"/>
      <c r="G97" s="999"/>
      <c r="H97" s="999"/>
      <c r="I97" s="999"/>
      <c r="J97" s="999"/>
      <c r="K97" s="999"/>
      <c r="L97" s="999"/>
      <c r="M97" s="999"/>
      <c r="N97" s="999"/>
      <c r="O97" s="999"/>
      <c r="P97" s="999"/>
      <c r="Q97" s="999"/>
      <c r="R97" s="999"/>
      <c r="T97" s="999"/>
      <c r="U97" s="999"/>
      <c r="V97" s="999"/>
    </row>
    <row r="98" spans="5:22" ht="12.75">
      <c r="E98" s="999"/>
      <c r="F98" s="999"/>
      <c r="G98" s="999"/>
      <c r="H98" s="999"/>
      <c r="I98" s="999"/>
      <c r="J98" s="999"/>
      <c r="K98" s="999"/>
      <c r="L98" s="999"/>
      <c r="M98" s="999"/>
      <c r="N98" s="999"/>
      <c r="O98" s="999"/>
      <c r="P98" s="999"/>
      <c r="Q98" s="999"/>
      <c r="R98" s="999"/>
      <c r="T98" s="999"/>
      <c r="U98" s="999"/>
      <c r="V98" s="999"/>
    </row>
    <row r="99" spans="5:22" ht="12.75">
      <c r="E99" s="999"/>
      <c r="F99" s="999"/>
      <c r="G99" s="999"/>
      <c r="H99" s="999"/>
      <c r="I99" s="999"/>
      <c r="J99" s="999"/>
      <c r="K99" s="999"/>
      <c r="L99" s="999"/>
      <c r="M99" s="999"/>
      <c r="N99" s="999"/>
      <c r="O99" s="999"/>
      <c r="P99" s="999"/>
      <c r="Q99" s="999"/>
      <c r="R99" s="999"/>
      <c r="T99" s="999"/>
      <c r="U99" s="999"/>
      <c r="V99" s="999"/>
    </row>
    <row r="100" spans="5:22" ht="12.75">
      <c r="E100" s="999"/>
      <c r="F100" s="999"/>
      <c r="G100" s="999"/>
      <c r="H100" s="999"/>
      <c r="I100" s="999"/>
      <c r="J100" s="999"/>
      <c r="K100" s="999"/>
      <c r="L100" s="999"/>
      <c r="M100" s="999"/>
      <c r="N100" s="999"/>
      <c r="O100" s="999"/>
      <c r="P100" s="999"/>
      <c r="Q100" s="999"/>
      <c r="R100" s="999"/>
      <c r="T100" s="999"/>
      <c r="U100" s="999"/>
      <c r="V100" s="999"/>
    </row>
    <row r="101" spans="5:22" ht="12.75">
      <c r="E101" s="999"/>
      <c r="F101" s="999"/>
      <c r="G101" s="999"/>
      <c r="H101" s="999"/>
      <c r="I101" s="999"/>
      <c r="J101" s="999"/>
      <c r="K101" s="999"/>
      <c r="L101" s="999"/>
      <c r="M101" s="999"/>
      <c r="N101" s="999"/>
      <c r="O101" s="999"/>
      <c r="P101" s="999"/>
      <c r="Q101" s="999"/>
      <c r="R101" s="999"/>
      <c r="T101" s="999"/>
      <c r="U101" s="999"/>
      <c r="V101" s="999"/>
    </row>
    <row r="102" spans="5:22" ht="12.75">
      <c r="E102" s="999"/>
      <c r="F102" s="999"/>
      <c r="G102" s="999"/>
      <c r="H102" s="999"/>
      <c r="I102" s="999"/>
      <c r="J102" s="999"/>
      <c r="K102" s="999"/>
      <c r="L102" s="999"/>
      <c r="M102" s="999"/>
      <c r="N102" s="999"/>
      <c r="O102" s="999"/>
      <c r="P102" s="999"/>
      <c r="Q102" s="999"/>
      <c r="R102" s="999"/>
      <c r="T102" s="999"/>
      <c r="U102" s="999"/>
      <c r="V102" s="999"/>
    </row>
    <row r="103" spans="5:22" ht="12.75">
      <c r="E103" s="999"/>
      <c r="F103" s="999"/>
      <c r="G103" s="999"/>
      <c r="H103" s="999"/>
      <c r="I103" s="999"/>
      <c r="J103" s="999"/>
      <c r="K103" s="999"/>
      <c r="L103" s="999"/>
      <c r="M103" s="999"/>
      <c r="N103" s="999"/>
      <c r="O103" s="999"/>
      <c r="P103" s="999"/>
      <c r="Q103" s="999"/>
      <c r="R103" s="999"/>
      <c r="T103" s="999"/>
      <c r="U103" s="999"/>
      <c r="V103" s="999"/>
    </row>
    <row r="104" spans="5:22" ht="12.75">
      <c r="E104" s="999"/>
      <c r="F104" s="999"/>
      <c r="G104" s="999"/>
      <c r="H104" s="999"/>
      <c r="I104" s="999"/>
      <c r="J104" s="999"/>
      <c r="K104" s="999"/>
      <c r="L104" s="999"/>
      <c r="M104" s="999"/>
      <c r="N104" s="999"/>
      <c r="O104" s="999"/>
      <c r="P104" s="999"/>
      <c r="Q104" s="999"/>
      <c r="R104" s="999"/>
      <c r="T104" s="999"/>
      <c r="U104" s="999"/>
      <c r="V104" s="999"/>
    </row>
    <row r="105" spans="5:22" ht="12.75">
      <c r="E105" s="999"/>
      <c r="F105" s="999"/>
      <c r="G105" s="999"/>
      <c r="H105" s="999"/>
      <c r="I105" s="999"/>
      <c r="J105" s="999"/>
      <c r="K105" s="999"/>
      <c r="L105" s="999"/>
      <c r="M105" s="999"/>
      <c r="N105" s="999"/>
      <c r="O105" s="999"/>
      <c r="P105" s="999"/>
      <c r="Q105" s="999"/>
      <c r="R105" s="999"/>
      <c r="T105" s="999"/>
      <c r="U105" s="999"/>
      <c r="V105" s="999"/>
    </row>
    <row r="106" spans="5:22" ht="12.75">
      <c r="E106" s="999"/>
      <c r="F106" s="999"/>
      <c r="G106" s="999"/>
      <c r="H106" s="999"/>
      <c r="I106" s="999"/>
      <c r="J106" s="999"/>
      <c r="K106" s="999"/>
      <c r="L106" s="999"/>
      <c r="M106" s="999"/>
      <c r="N106" s="999"/>
      <c r="O106" s="999"/>
      <c r="P106" s="999"/>
      <c r="Q106" s="999"/>
      <c r="R106" s="999"/>
      <c r="T106" s="999"/>
      <c r="U106" s="999"/>
      <c r="V106" s="999"/>
    </row>
    <row r="107" spans="5:22" ht="12.75">
      <c r="E107" s="999"/>
      <c r="F107" s="999"/>
      <c r="G107" s="999"/>
      <c r="H107" s="999"/>
      <c r="I107" s="999"/>
      <c r="J107" s="999"/>
      <c r="K107" s="999"/>
      <c r="L107" s="999"/>
      <c r="M107" s="999"/>
      <c r="N107" s="999"/>
      <c r="O107" s="999"/>
      <c r="P107" s="999"/>
      <c r="Q107" s="999"/>
      <c r="R107" s="999"/>
      <c r="T107" s="999"/>
      <c r="U107" s="999"/>
      <c r="V107" s="999"/>
    </row>
    <row r="108" spans="5:22" ht="12.75">
      <c r="E108" s="999"/>
      <c r="F108" s="999"/>
      <c r="G108" s="999"/>
      <c r="H108" s="999"/>
      <c r="I108" s="999"/>
      <c r="J108" s="999"/>
      <c r="K108" s="999"/>
      <c r="L108" s="999"/>
      <c r="M108" s="999"/>
      <c r="N108" s="999"/>
      <c r="O108" s="999"/>
      <c r="P108" s="999"/>
      <c r="Q108" s="999"/>
      <c r="R108" s="999"/>
      <c r="T108" s="999"/>
      <c r="U108" s="999"/>
      <c r="V108" s="999"/>
    </row>
    <row r="109" spans="5:22" ht="12.75">
      <c r="E109" s="999"/>
      <c r="F109" s="999"/>
      <c r="G109" s="999"/>
      <c r="H109" s="999"/>
      <c r="I109" s="999"/>
      <c r="J109" s="999"/>
      <c r="K109" s="999"/>
      <c r="L109" s="999"/>
      <c r="M109" s="999"/>
      <c r="N109" s="999"/>
      <c r="O109" s="999"/>
      <c r="P109" s="999"/>
      <c r="Q109" s="999"/>
      <c r="R109" s="999"/>
      <c r="T109" s="999"/>
      <c r="U109" s="999"/>
      <c r="V109" s="999"/>
    </row>
    <row r="110" spans="5:22" ht="12.75">
      <c r="E110" s="999"/>
      <c r="F110" s="999"/>
      <c r="G110" s="999"/>
      <c r="H110" s="999"/>
      <c r="I110" s="999"/>
      <c r="J110" s="999"/>
      <c r="K110" s="999"/>
      <c r="L110" s="999"/>
      <c r="M110" s="999"/>
      <c r="N110" s="999"/>
      <c r="O110" s="999"/>
      <c r="P110" s="999"/>
      <c r="Q110" s="999"/>
      <c r="R110" s="999"/>
      <c r="T110" s="999"/>
      <c r="U110" s="999"/>
      <c r="V110" s="999"/>
    </row>
    <row r="111" spans="5:22" ht="12.75">
      <c r="E111" s="999"/>
      <c r="F111" s="999"/>
      <c r="G111" s="999"/>
      <c r="H111" s="999"/>
      <c r="I111" s="999"/>
      <c r="J111" s="999"/>
      <c r="K111" s="999"/>
      <c r="L111" s="999"/>
      <c r="M111" s="999"/>
      <c r="N111" s="999"/>
      <c r="O111" s="999"/>
      <c r="P111" s="999"/>
      <c r="Q111" s="999"/>
      <c r="R111" s="999"/>
      <c r="T111" s="999"/>
      <c r="U111" s="999"/>
      <c r="V111" s="999"/>
    </row>
  </sheetData>
  <sheetProtection/>
  <mergeCells count="46">
    <mergeCell ref="S1:W1"/>
    <mergeCell ref="C20:D20"/>
    <mergeCell ref="C29:D29"/>
    <mergeCell ref="C30:D30"/>
    <mergeCell ref="C36:D36"/>
    <mergeCell ref="B32:D32"/>
    <mergeCell ref="C33:D33"/>
    <mergeCell ref="C34:D34"/>
    <mergeCell ref="C35:D35"/>
    <mergeCell ref="A2:S2"/>
    <mergeCell ref="A4:C4"/>
    <mergeCell ref="B6:D6"/>
    <mergeCell ref="B7:D7"/>
    <mergeCell ref="E4:K4"/>
    <mergeCell ref="L4:R4"/>
    <mergeCell ref="S4:Y4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zoomScale="70" zoomScaleNormal="70" zoomScalePageLayoutView="85" workbookViewId="0" topLeftCell="A1">
      <selection activeCell="A2" sqref="A2:S2"/>
    </sheetView>
  </sheetViews>
  <sheetFormatPr defaultColWidth="9.140625" defaultRowHeight="12.75"/>
  <cols>
    <col min="1" max="1" width="5.8515625" style="108" customWidth="1"/>
    <col min="2" max="2" width="8.140625" style="115" customWidth="1"/>
    <col min="3" max="3" width="6.8515625" style="115" customWidth="1"/>
    <col min="4" max="4" width="50.140625" style="116" bestFit="1" customWidth="1"/>
    <col min="5" max="5" width="21.57421875" style="1" customWidth="1"/>
    <col min="6" max="6" width="18.421875" style="1" hidden="1" customWidth="1"/>
    <col min="7" max="7" width="17.00390625" style="1" hidden="1" customWidth="1"/>
    <col min="8" max="8" width="20.421875" style="1" hidden="1" customWidth="1"/>
    <col min="9" max="9" width="22.140625" style="1" hidden="1" customWidth="1"/>
    <col min="10" max="10" width="22.7109375" style="1" customWidth="1"/>
    <col min="11" max="11" width="11.8515625" style="1" hidden="1" customWidth="1"/>
    <col min="12" max="12" width="20.7109375" style="66" customWidth="1"/>
    <col min="13" max="13" width="16.421875" style="66" hidden="1" customWidth="1"/>
    <col min="14" max="14" width="18.28125" style="66" hidden="1" customWidth="1"/>
    <col min="15" max="15" width="15.7109375" style="66" hidden="1" customWidth="1"/>
    <col min="16" max="16" width="17.140625" style="66" hidden="1" customWidth="1"/>
    <col min="17" max="17" width="16.7109375" style="66" customWidth="1"/>
    <col min="18" max="18" width="10.8515625" style="66" hidden="1" customWidth="1"/>
    <col min="19" max="19" width="22.140625" style="66" customWidth="1"/>
    <col min="20" max="20" width="14.8515625" style="66" hidden="1" customWidth="1"/>
    <col min="21" max="21" width="15.7109375" style="1" hidden="1" customWidth="1"/>
    <col min="22" max="22" width="17.7109375" style="1" hidden="1" customWidth="1"/>
    <col min="23" max="23" width="19.140625" style="1" hidden="1" customWidth="1"/>
    <col min="24" max="24" width="15.421875" style="1" customWidth="1"/>
    <col min="25" max="25" width="10.28125" style="1" hidden="1" customWidth="1"/>
    <col min="26" max="26" width="9.140625" style="1" hidden="1" customWidth="1"/>
    <col min="27" max="27" width="9.140625" style="1" customWidth="1"/>
    <col min="28" max="28" width="16.421875" style="1" customWidth="1"/>
    <col min="29" max="16384" width="9.140625" style="1" customWidth="1"/>
  </cols>
  <sheetData>
    <row r="1" spans="5:23" ht="15.75">
      <c r="E1" s="1188" t="s">
        <v>637</v>
      </c>
      <c r="F1" s="1188"/>
      <c r="G1" s="1188"/>
      <c r="H1" s="1188"/>
      <c r="I1" s="1188"/>
      <c r="J1" s="1188"/>
      <c r="K1" s="1188"/>
      <c r="L1" s="1188"/>
      <c r="M1" s="1188"/>
      <c r="N1" s="1188"/>
      <c r="O1" s="1188"/>
      <c r="P1" s="1188"/>
      <c r="Q1" s="1188"/>
      <c r="R1" s="1188"/>
      <c r="S1" s="1188"/>
      <c r="T1" s="1188"/>
      <c r="U1" s="1188"/>
      <c r="V1" s="1188"/>
      <c r="W1" s="1188"/>
    </row>
    <row r="2" spans="1:20" ht="37.5" customHeight="1">
      <c r="A2" s="1189" t="s">
        <v>524</v>
      </c>
      <c r="B2" s="1189"/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  <c r="P2" s="1189"/>
      <c r="Q2" s="1189"/>
      <c r="R2" s="1189"/>
      <c r="S2" s="1189"/>
      <c r="T2" s="240"/>
    </row>
    <row r="3" spans="1:19" ht="14.25" customHeight="1" thickBot="1">
      <c r="A3" s="79"/>
      <c r="B3" s="107"/>
      <c r="C3" s="107"/>
      <c r="D3" s="117"/>
      <c r="S3" s="123" t="s">
        <v>2</v>
      </c>
    </row>
    <row r="4" spans="1:25" s="2" customFormat="1" ht="48.75" customHeight="1" thickBot="1">
      <c r="A4" s="1160" t="s">
        <v>4</v>
      </c>
      <c r="B4" s="1123"/>
      <c r="C4" s="1123"/>
      <c r="D4" s="1123"/>
      <c r="E4" s="434" t="s">
        <v>5</v>
      </c>
      <c r="F4" s="393"/>
      <c r="G4" s="851"/>
      <c r="H4" s="392"/>
      <c r="I4" s="393"/>
      <c r="J4" s="920"/>
      <c r="K4" s="299"/>
      <c r="L4" s="434" t="s">
        <v>61</v>
      </c>
      <c r="M4" s="393"/>
      <c r="N4" s="851"/>
      <c r="O4" s="392"/>
      <c r="P4" s="393"/>
      <c r="Q4" s="920"/>
      <c r="R4" s="299"/>
      <c r="S4" s="1162" t="s">
        <v>62</v>
      </c>
      <c r="T4" s="1163"/>
      <c r="U4" s="1163"/>
      <c r="V4" s="1163"/>
      <c r="W4" s="1163"/>
      <c r="X4" s="1163"/>
      <c r="Y4" s="1164"/>
    </row>
    <row r="5" spans="1:25" s="2" customFormat="1" ht="16.5" thickBot="1">
      <c r="A5" s="295"/>
      <c r="B5" s="293"/>
      <c r="C5" s="293"/>
      <c r="D5" s="293"/>
      <c r="E5" s="391" t="s">
        <v>65</v>
      </c>
      <c r="F5" s="393" t="s">
        <v>229</v>
      </c>
      <c r="G5" s="851" t="s">
        <v>232</v>
      </c>
      <c r="H5" s="392" t="s">
        <v>234</v>
      </c>
      <c r="I5" s="393" t="s">
        <v>248</v>
      </c>
      <c r="J5" s="851" t="s">
        <v>253</v>
      </c>
      <c r="K5" s="747" t="s">
        <v>238</v>
      </c>
      <c r="L5" s="391" t="s">
        <v>65</v>
      </c>
      <c r="M5" s="393" t="s">
        <v>229</v>
      </c>
      <c r="N5" s="851" t="s">
        <v>232</v>
      </c>
      <c r="O5" s="392" t="s">
        <v>234</v>
      </c>
      <c r="P5" s="393" t="s">
        <v>248</v>
      </c>
      <c r="Q5" s="851" t="s">
        <v>253</v>
      </c>
      <c r="R5" s="747" t="s">
        <v>238</v>
      </c>
      <c r="S5" s="391" t="s">
        <v>65</v>
      </c>
      <c r="T5" s="392" t="s">
        <v>229</v>
      </c>
      <c r="U5" s="392" t="s">
        <v>232</v>
      </c>
      <c r="V5" s="392" t="s">
        <v>234</v>
      </c>
      <c r="W5" s="392" t="s">
        <v>248</v>
      </c>
      <c r="X5" s="392" t="s">
        <v>253</v>
      </c>
      <c r="Y5" s="936" t="s">
        <v>238</v>
      </c>
    </row>
    <row r="6" spans="1:28" s="65" customFormat="1" ht="22.5" customHeight="1" thickBot="1">
      <c r="A6" s="100" t="s">
        <v>27</v>
      </c>
      <c r="B6" s="1161" t="s">
        <v>78</v>
      </c>
      <c r="C6" s="1161"/>
      <c r="D6" s="1161"/>
      <c r="E6" s="347">
        <f aca="true" t="shared" si="0" ref="E6:J6">SUM(E7:E11)</f>
        <v>244813708</v>
      </c>
      <c r="F6" s="818">
        <f t="shared" si="0"/>
        <v>247038070</v>
      </c>
      <c r="G6" s="818">
        <f t="shared" si="0"/>
        <v>250850519</v>
      </c>
      <c r="H6" s="818">
        <f t="shared" si="0"/>
        <v>259189819</v>
      </c>
      <c r="I6" s="818">
        <f t="shared" si="0"/>
        <v>266490471</v>
      </c>
      <c r="J6" s="818">
        <f t="shared" si="0"/>
        <v>356084897</v>
      </c>
      <c r="K6" s="715">
        <f>I6/H6</f>
        <v>1.0281672020458488</v>
      </c>
      <c r="L6" s="347">
        <f>SUM(L7:L11)</f>
        <v>226868226</v>
      </c>
      <c r="M6" s="347">
        <f aca="true" t="shared" si="1" ref="M6:R6">SUM(M7:M11)</f>
        <v>227102087</v>
      </c>
      <c r="N6" s="347">
        <f t="shared" si="1"/>
        <v>231069795</v>
      </c>
      <c r="O6" s="347">
        <f t="shared" si="1"/>
        <v>239409094</v>
      </c>
      <c r="P6" s="347">
        <f t="shared" si="1"/>
        <v>248298745</v>
      </c>
      <c r="Q6" s="347">
        <f t="shared" si="1"/>
        <v>340804266</v>
      </c>
      <c r="R6" s="347">
        <f t="shared" si="1"/>
        <v>-4.971217553950975</v>
      </c>
      <c r="S6" s="347">
        <f>SUM(S7:S11)</f>
        <v>17945482</v>
      </c>
      <c r="T6" s="347">
        <f aca="true" t="shared" si="2" ref="T6:Z6">SUM(T7:T11)</f>
        <v>19935983</v>
      </c>
      <c r="U6" s="347">
        <f t="shared" si="2"/>
        <v>19780724</v>
      </c>
      <c r="V6" s="347">
        <f t="shared" si="2"/>
        <v>19780725</v>
      </c>
      <c r="W6" s="347">
        <f t="shared" si="2"/>
        <v>17980726</v>
      </c>
      <c r="X6" s="347">
        <f t="shared" si="2"/>
        <v>15280631</v>
      </c>
      <c r="Y6" s="347">
        <f t="shared" si="2"/>
        <v>7</v>
      </c>
      <c r="Z6" s="347">
        <f t="shared" si="2"/>
        <v>8.864876683082898</v>
      </c>
      <c r="AB6" s="996"/>
    </row>
    <row r="7" spans="1:28" s="5" customFormat="1" ht="22.5" customHeight="1">
      <c r="A7" s="99"/>
      <c r="B7" s="104" t="s">
        <v>36</v>
      </c>
      <c r="C7" s="104"/>
      <c r="D7" s="338" t="s">
        <v>0</v>
      </c>
      <c r="E7" s="394">
        <v>45375687</v>
      </c>
      <c r="F7" s="921">
        <v>45375687</v>
      </c>
      <c r="G7" s="921">
        <v>45375687</v>
      </c>
      <c r="H7" s="921">
        <f>45375687+1566928</f>
        <v>46942615</v>
      </c>
      <c r="I7" s="921">
        <f>45375687+1566928</f>
        <v>46942615</v>
      </c>
      <c r="J7" s="819">
        <v>46942615</v>
      </c>
      <c r="K7" s="716"/>
      <c r="L7" s="348">
        <f>E7</f>
        <v>45375687</v>
      </c>
      <c r="M7" s="348">
        <f aca="true" t="shared" si="3" ref="M7:R8">F7</f>
        <v>45375687</v>
      </c>
      <c r="N7" s="348">
        <f t="shared" si="3"/>
        <v>45375687</v>
      </c>
      <c r="O7" s="348">
        <f t="shared" si="3"/>
        <v>46942615</v>
      </c>
      <c r="P7" s="348">
        <f t="shared" si="3"/>
        <v>46942615</v>
      </c>
      <c r="Q7" s="348">
        <f t="shared" si="3"/>
        <v>46942615</v>
      </c>
      <c r="R7" s="348">
        <f t="shared" si="3"/>
        <v>0</v>
      </c>
      <c r="S7" s="348">
        <v>0</v>
      </c>
      <c r="T7" s="348">
        <v>0</v>
      </c>
      <c r="U7" s="348">
        <v>0</v>
      </c>
      <c r="V7" s="348">
        <v>0</v>
      </c>
      <c r="W7" s="348">
        <v>0</v>
      </c>
      <c r="X7" s="348">
        <v>0</v>
      </c>
      <c r="Y7" s="348">
        <v>0</v>
      </c>
      <c r="Z7" s="348">
        <v>0</v>
      </c>
      <c r="AB7" s="996"/>
    </row>
    <row r="8" spans="1:28" s="5" customFormat="1" ht="22.5" customHeight="1">
      <c r="A8" s="82"/>
      <c r="B8" s="91" t="s">
        <v>37</v>
      </c>
      <c r="C8" s="91"/>
      <c r="D8" s="339" t="s">
        <v>79</v>
      </c>
      <c r="E8" s="394">
        <v>10132050</v>
      </c>
      <c r="F8" s="921">
        <v>10132050</v>
      </c>
      <c r="G8" s="921">
        <v>10132050</v>
      </c>
      <c r="H8" s="921">
        <f>10132050+423072</f>
        <v>10555122</v>
      </c>
      <c r="I8" s="921">
        <f>10132050+423072</f>
        <v>10555122</v>
      </c>
      <c r="J8" s="921">
        <v>10577215</v>
      </c>
      <c r="K8" s="835"/>
      <c r="L8" s="348">
        <f>E8</f>
        <v>10132050</v>
      </c>
      <c r="M8" s="348">
        <f t="shared" si="3"/>
        <v>10132050</v>
      </c>
      <c r="N8" s="348">
        <f t="shared" si="3"/>
        <v>10132050</v>
      </c>
      <c r="O8" s="348">
        <f t="shared" si="3"/>
        <v>10555122</v>
      </c>
      <c r="P8" s="348">
        <f t="shared" si="3"/>
        <v>10555122</v>
      </c>
      <c r="Q8" s="348">
        <f t="shared" si="3"/>
        <v>10577215</v>
      </c>
      <c r="R8" s="348">
        <f t="shared" si="3"/>
        <v>0</v>
      </c>
      <c r="S8" s="394">
        <v>0</v>
      </c>
      <c r="T8" s="394">
        <v>0</v>
      </c>
      <c r="U8" s="394">
        <v>0</v>
      </c>
      <c r="V8" s="394">
        <v>0</v>
      </c>
      <c r="W8" s="394">
        <v>0</v>
      </c>
      <c r="X8" s="394">
        <v>0</v>
      </c>
      <c r="Y8" s="394">
        <v>0</v>
      </c>
      <c r="Z8" s="394">
        <v>0</v>
      </c>
      <c r="AB8" s="996"/>
    </row>
    <row r="9" spans="1:28" s="5" customFormat="1" ht="22.5" customHeight="1">
      <c r="A9" s="82"/>
      <c r="B9" s="91" t="s">
        <v>38</v>
      </c>
      <c r="C9" s="91"/>
      <c r="D9" s="339" t="s">
        <v>80</v>
      </c>
      <c r="E9" s="394">
        <v>55251474</v>
      </c>
      <c r="F9" s="921">
        <f>55251474+2*49000+59000</f>
        <v>55408474</v>
      </c>
      <c r="G9" s="921">
        <f>55251474+2*49000+59000+3986843-19134</f>
        <v>59376183</v>
      </c>
      <c r="H9" s="921">
        <f>55251474+2*49000+59000+3986843-19134+6349300</f>
        <v>65725483</v>
      </c>
      <c r="I9" s="921">
        <f>55251474+2*49000+59000+3986843-19134+6349300+3263295</f>
        <v>68988778</v>
      </c>
      <c r="J9" s="921">
        <v>143188859</v>
      </c>
      <c r="K9" s="835"/>
      <c r="L9" s="394">
        <f>'8.sz.m.Dologi kiadás (3)'!K29</f>
        <v>53384779</v>
      </c>
      <c r="M9" s="394">
        <f>'8.sz.m.Dologi kiadás (3)'!L29</f>
        <v>53541779</v>
      </c>
      <c r="N9" s="394">
        <f>'8.sz.m.Dologi kiadás (3)'!M29</f>
        <v>57509488</v>
      </c>
      <c r="O9" s="394">
        <f>'8.sz.m.Dologi kiadás (3)'!N29</f>
        <v>63858788</v>
      </c>
      <c r="P9" s="394">
        <f>'8.sz.m.Dologi kiadás (3)'!O29</f>
        <v>67122083</v>
      </c>
      <c r="Q9" s="394">
        <f>'8.sz.m.Dologi kiadás (3)'!P29</f>
        <v>141274735</v>
      </c>
      <c r="R9" s="394">
        <f>'8.sz.m.Dologi kiadás (3)'!Q29</f>
        <v>0</v>
      </c>
      <c r="S9" s="394">
        <f>'8.sz.m.Dologi kiadás (3)'!R29</f>
        <v>1866695</v>
      </c>
      <c r="T9" s="394">
        <f>'8.sz.m.Dologi kiadás (3)'!S29</f>
        <v>1866695</v>
      </c>
      <c r="U9" s="394">
        <f>'8.sz.m.Dologi kiadás (3)'!T29</f>
        <v>1866695</v>
      </c>
      <c r="V9" s="394">
        <f>'8.sz.m.Dologi kiadás (3)'!U29</f>
        <v>1866695</v>
      </c>
      <c r="W9" s="394">
        <f>'8.sz.m.Dologi kiadás (3)'!V29</f>
        <v>1866695</v>
      </c>
      <c r="X9" s="394">
        <f>'8.sz.m.Dologi kiadás (3)'!W29</f>
        <v>1914124</v>
      </c>
      <c r="Y9" s="394">
        <f>'8.sz.m.Dologi kiadás (3)'!X29</f>
        <v>1</v>
      </c>
      <c r="Z9" s="394">
        <f>'8.sz.m.Dologi kiadás (3)'!Y29</f>
        <v>0</v>
      </c>
      <c r="AB9" s="996"/>
    </row>
    <row r="10" spans="1:28" s="5" customFormat="1" ht="22.5" customHeight="1">
      <c r="A10" s="82"/>
      <c r="B10" s="91" t="s">
        <v>49</v>
      </c>
      <c r="C10" s="91"/>
      <c r="D10" s="339" t="s">
        <v>81</v>
      </c>
      <c r="E10" s="343">
        <v>3025952</v>
      </c>
      <c r="F10" s="922">
        <v>3025952</v>
      </c>
      <c r="G10" s="922">
        <v>3025952</v>
      </c>
      <c r="H10" s="922">
        <v>3025952</v>
      </c>
      <c r="I10" s="922">
        <f>211000+3025952</f>
        <v>3236952</v>
      </c>
      <c r="J10" s="922">
        <v>2642000</v>
      </c>
      <c r="K10" s="836"/>
      <c r="L10" s="343">
        <f>'9.sz.m.szociális kiadások (2)'!C16+'9.sz.m.szociális kiadások (2)'!C18</f>
        <v>245952</v>
      </c>
      <c r="M10" s="343">
        <f>'9.sz.m.szociális kiadások (2)'!D16+'9.sz.m.szociális kiadások (2)'!D18</f>
        <v>245952</v>
      </c>
      <c r="N10" s="343">
        <f>'9.sz.m.szociális kiadások (2)'!E16+'9.sz.m.szociális kiadások (2)'!E18</f>
        <v>245952</v>
      </c>
      <c r="O10" s="343">
        <f>'9.sz.m.szociális kiadások (2)'!F16+'9.sz.m.szociális kiadások (2)'!F18</f>
        <v>245952</v>
      </c>
      <c r="P10" s="343">
        <f>'9.sz.m.szociális kiadások (2)'!G16+'9.sz.m.szociális kiadások (2)'!G18</f>
        <v>245952</v>
      </c>
      <c r="Q10" s="343">
        <f>+'9.sz.m.szociális kiadások (2)'!H21+'9.sz.m.szociális kiadások (2)'!H36</f>
        <v>2642000</v>
      </c>
      <c r="R10" s="343">
        <f>'9.sz.m.szociális kiadások (2)'!I16+'9.sz.m.szociális kiadások (2)'!I18</f>
        <v>0</v>
      </c>
      <c r="S10" s="343">
        <f>SUM('9.sz.m.szociális kiadások (2)'!C10:C15)</f>
        <v>2780000</v>
      </c>
      <c r="T10" s="343">
        <f>SUM('9.sz.m.szociális kiadások (2)'!D10:D15)</f>
        <v>2780000</v>
      </c>
      <c r="U10" s="343">
        <f>SUM('9.sz.m.szociális kiadások (2)'!E10:E15)</f>
        <v>2780000</v>
      </c>
      <c r="V10" s="343">
        <f>SUM('9.sz.m.szociális kiadások (2)'!F10:F15)</f>
        <v>2780000</v>
      </c>
      <c r="W10" s="343">
        <f>SUM('9.sz.m.szociális kiadások (2)'!G10:G15)</f>
        <v>2780000</v>
      </c>
      <c r="X10" s="343"/>
      <c r="Y10" s="343">
        <f>SUM('9.sz.m.szociális kiadások (2)'!I10:I15)</f>
        <v>0</v>
      </c>
      <c r="Z10" s="343">
        <f>SUM('9.sz.m.szociális kiadások (2)'!J10:J15)</f>
        <v>0</v>
      </c>
      <c r="AB10" s="996"/>
    </row>
    <row r="11" spans="1:28" s="5" customFormat="1" ht="22.5" customHeight="1">
      <c r="A11" s="82"/>
      <c r="B11" s="91" t="s">
        <v>50</v>
      </c>
      <c r="C11" s="91"/>
      <c r="D11" s="340" t="s">
        <v>83</v>
      </c>
      <c r="E11" s="394">
        <f aca="true" t="shared" si="4" ref="E11:J11">SUM(E12:E16)</f>
        <v>131028545</v>
      </c>
      <c r="F11" s="921">
        <f t="shared" si="4"/>
        <v>133095907</v>
      </c>
      <c r="G11" s="921">
        <f t="shared" si="4"/>
        <v>132940647</v>
      </c>
      <c r="H11" s="921">
        <f t="shared" si="4"/>
        <v>132940647</v>
      </c>
      <c r="I11" s="921">
        <f t="shared" si="4"/>
        <v>136767004</v>
      </c>
      <c r="J11" s="921">
        <f t="shared" si="4"/>
        <v>152734208</v>
      </c>
      <c r="K11" s="835">
        <f>I11/H11</f>
        <v>1.0287824460490251</v>
      </c>
      <c r="L11" s="394">
        <f>E11-S11</f>
        <v>117729758</v>
      </c>
      <c r="M11" s="394">
        <f aca="true" t="shared" si="5" ref="M11:R11">F11-T11</f>
        <v>117806619</v>
      </c>
      <c r="N11" s="394">
        <f t="shared" si="5"/>
        <v>117806618</v>
      </c>
      <c r="O11" s="394">
        <f t="shared" si="5"/>
        <v>117806617</v>
      </c>
      <c r="P11" s="394">
        <f t="shared" si="5"/>
        <v>123432973</v>
      </c>
      <c r="Q11" s="394">
        <f t="shared" si="5"/>
        <v>139367701</v>
      </c>
      <c r="R11" s="394">
        <f t="shared" si="5"/>
        <v>-4.971217553950975</v>
      </c>
      <c r="S11" s="394">
        <f>SUM(S12:S16)</f>
        <v>13298787</v>
      </c>
      <c r="T11" s="394">
        <f aca="true" t="shared" si="6" ref="T11:Z11">SUM(T12:T16)</f>
        <v>15289288</v>
      </c>
      <c r="U11" s="394">
        <f t="shared" si="6"/>
        <v>15134029</v>
      </c>
      <c r="V11" s="394">
        <f t="shared" si="6"/>
        <v>15134030</v>
      </c>
      <c r="W11" s="394">
        <f t="shared" si="6"/>
        <v>13334031</v>
      </c>
      <c r="X11" s="394">
        <f t="shared" si="6"/>
        <v>13366507</v>
      </c>
      <c r="Y11" s="394">
        <f t="shared" si="6"/>
        <v>6</v>
      </c>
      <c r="Z11" s="394">
        <f t="shared" si="6"/>
        <v>8.864876683082898</v>
      </c>
      <c r="AB11" s="996"/>
    </row>
    <row r="12" spans="1:28" s="5" customFormat="1" ht="22.5" customHeight="1">
      <c r="A12" s="82"/>
      <c r="B12" s="114"/>
      <c r="C12" s="91" t="s">
        <v>82</v>
      </c>
      <c r="D12" s="341" t="s">
        <v>280</v>
      </c>
      <c r="E12" s="343">
        <v>215403</v>
      </c>
      <c r="F12" s="922">
        <f>215403+76862</f>
        <v>292265</v>
      </c>
      <c r="G12" s="922">
        <f>215403+76862</f>
        <v>292265</v>
      </c>
      <c r="H12" s="922">
        <f>215403+76862</f>
        <v>292265</v>
      </c>
      <c r="I12" s="922">
        <f>215403+76862</f>
        <v>292265</v>
      </c>
      <c r="J12" s="922">
        <v>292265</v>
      </c>
      <c r="K12" s="836"/>
      <c r="L12" s="348">
        <f>E12</f>
        <v>215403</v>
      </c>
      <c r="M12" s="348">
        <f aca="true" t="shared" si="7" ref="M12:R12">F12</f>
        <v>292265</v>
      </c>
      <c r="N12" s="348">
        <f t="shared" si="7"/>
        <v>292265</v>
      </c>
      <c r="O12" s="348">
        <f t="shared" si="7"/>
        <v>292265</v>
      </c>
      <c r="P12" s="348">
        <f t="shared" si="7"/>
        <v>292265</v>
      </c>
      <c r="Q12" s="348">
        <f t="shared" si="7"/>
        <v>292265</v>
      </c>
      <c r="R12" s="348">
        <f t="shared" si="7"/>
        <v>0</v>
      </c>
      <c r="S12" s="343">
        <v>0</v>
      </c>
      <c r="T12" s="343">
        <v>1</v>
      </c>
      <c r="U12" s="343">
        <v>2</v>
      </c>
      <c r="V12" s="343">
        <v>3</v>
      </c>
      <c r="W12" s="343">
        <v>4</v>
      </c>
      <c r="X12" s="343">
        <v>0</v>
      </c>
      <c r="Y12" s="343">
        <v>6</v>
      </c>
      <c r="Z12" s="343">
        <v>7</v>
      </c>
      <c r="AB12" s="996"/>
    </row>
    <row r="13" spans="1:28" s="5" customFormat="1" ht="31.5" customHeight="1">
      <c r="A13" s="82"/>
      <c r="B13" s="91"/>
      <c r="C13" s="91" t="s">
        <v>84</v>
      </c>
      <c r="D13" s="339" t="s">
        <v>281</v>
      </c>
      <c r="E13" s="343">
        <v>11431025</v>
      </c>
      <c r="F13" s="922">
        <f>11431025+1800000+190500</f>
        <v>13421525</v>
      </c>
      <c r="G13" s="922">
        <f>11431025+1800000+190500+53640-56000+100000-198000</f>
        <v>13321165</v>
      </c>
      <c r="H13" s="922">
        <f>11431025+1800000+190500+53640-56000+100000-198000</f>
        <v>13321165</v>
      </c>
      <c r="I13" s="922">
        <f>11431025+1800000+190500+53640-56000+100000-198000-1800000</f>
        <v>11521165</v>
      </c>
      <c r="J13" s="922">
        <v>11553645</v>
      </c>
      <c r="K13" s="836"/>
      <c r="L13" s="343">
        <f>'10.sz.m.átadott pe (3)'!B60</f>
        <v>0</v>
      </c>
      <c r="M13" s="343">
        <f>'10.sz.m.átadott pe (3)'!C60</f>
        <v>0</v>
      </c>
      <c r="N13" s="343">
        <f>'10.sz.m.átadott pe (3)'!D60</f>
        <v>0</v>
      </c>
      <c r="O13" s="343">
        <f>'10.sz.m.átadott pe (3)'!E60</f>
        <v>0</v>
      </c>
      <c r="P13" s="343">
        <f>'10.sz.m.átadott pe (3)'!F60</f>
        <v>0</v>
      </c>
      <c r="Q13" s="343">
        <f>'10.sz.m.átadott pe (3)'!G60</f>
        <v>0</v>
      </c>
      <c r="R13" s="343">
        <f>'10.sz.m.átadott pe (3)'!H60</f>
        <v>0</v>
      </c>
      <c r="S13" s="343">
        <f>'10.sz.m.átadott pe (3)'!I60</f>
        <v>11431025</v>
      </c>
      <c r="T13" s="343">
        <f>'10.sz.m.átadott pe (3)'!J60</f>
        <v>13421525</v>
      </c>
      <c r="U13" s="343">
        <f>'10.sz.m.átadott pe (3)'!K60</f>
        <v>13321165</v>
      </c>
      <c r="V13" s="343">
        <f>'10.sz.m.átadott pe (3)'!L60</f>
        <v>13321165</v>
      </c>
      <c r="W13" s="343">
        <f>'10.sz.m.átadott pe (3)'!M60</f>
        <v>11521165</v>
      </c>
      <c r="X13" s="343">
        <f>'10.sz.m.átadott pe (3)'!N60</f>
        <v>11553645</v>
      </c>
      <c r="Y13" s="343">
        <f>'10.sz.m.átadott pe (3)'!O60</f>
        <v>0</v>
      </c>
      <c r="Z13" s="343">
        <f>'10.sz.m.átadott pe (3)'!P60</f>
        <v>0.8648766830828986</v>
      </c>
      <c r="AB13" s="996"/>
    </row>
    <row r="14" spans="1:28" s="5" customFormat="1" ht="36.75" customHeight="1" thickBot="1">
      <c r="A14" s="110"/>
      <c r="B14" s="111"/>
      <c r="C14" s="91" t="s">
        <v>85</v>
      </c>
      <c r="D14" s="339" t="s">
        <v>282</v>
      </c>
      <c r="E14" s="343">
        <v>119382117</v>
      </c>
      <c r="F14" s="922">
        <v>119382117</v>
      </c>
      <c r="G14" s="922">
        <f>119382117-54900</f>
        <v>119327217</v>
      </c>
      <c r="H14" s="922">
        <f>119382117-54900</f>
        <v>119327217</v>
      </c>
      <c r="I14" s="922">
        <f>119382117-54900+4427160+1199197</f>
        <v>124953574</v>
      </c>
      <c r="J14" s="922">
        <v>140888298</v>
      </c>
      <c r="K14" s="836"/>
      <c r="L14" s="343">
        <f>'10.sz.m.átadott pe (3)'!B89</f>
        <v>117514355</v>
      </c>
      <c r="M14" s="343">
        <f>'10.sz.m.átadott pe (3)'!C89</f>
        <v>117514355</v>
      </c>
      <c r="N14" s="343">
        <f>'10.sz.m.átadott pe (3)'!D89</f>
        <v>117514355</v>
      </c>
      <c r="O14" s="343">
        <f>'10.sz.m.átadott pe (3)'!E89</f>
        <v>117514355</v>
      </c>
      <c r="P14" s="343">
        <f>'10.sz.m.átadott pe (3)'!F89</f>
        <v>123140712</v>
      </c>
      <c r="Q14" s="343">
        <f>'10.sz.m.átadott pe (3)'!G89</f>
        <v>139075436</v>
      </c>
      <c r="R14" s="343">
        <f>'10.sz.m.átadott pe (3)'!H89</f>
        <v>1.0478780400913574</v>
      </c>
      <c r="S14" s="343">
        <f>'10.sz.m.átadott pe (3)'!I89</f>
        <v>1867762</v>
      </c>
      <c r="T14" s="343">
        <f>'10.sz.m.átadott pe (3)'!J89</f>
        <v>1867762</v>
      </c>
      <c r="U14" s="343">
        <f>'10.sz.m.átadott pe (3)'!K89</f>
        <v>1812862</v>
      </c>
      <c r="V14" s="343">
        <f>'10.sz.m.átadott pe (3)'!L89</f>
        <v>1812862</v>
      </c>
      <c r="W14" s="343">
        <f>'10.sz.m.átadott pe (3)'!M89</f>
        <v>1812862</v>
      </c>
      <c r="X14" s="343">
        <f>'10.sz.m.átadott pe (3)'!N89</f>
        <v>1812862</v>
      </c>
      <c r="Y14" s="343">
        <f>'10.sz.m.átadott pe (3)'!O89</f>
        <v>0</v>
      </c>
      <c r="Z14" s="343">
        <f>'10.sz.m.átadott pe (3)'!P89</f>
        <v>1</v>
      </c>
      <c r="AB14" s="996"/>
    </row>
    <row r="15" spans="1:28" s="5" customFormat="1" ht="22.5" customHeight="1" hidden="1">
      <c r="A15" s="82"/>
      <c r="B15" s="91"/>
      <c r="C15" s="91" t="s">
        <v>88</v>
      </c>
      <c r="D15" s="339" t="s">
        <v>90</v>
      </c>
      <c r="E15" s="394"/>
      <c r="F15" s="921"/>
      <c r="G15" s="921"/>
      <c r="H15" s="921"/>
      <c r="I15" s="921"/>
      <c r="J15" s="921"/>
      <c r="K15" s="835" t="e">
        <f>I15/H15</f>
        <v>#DIV/0!</v>
      </c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B15" s="996"/>
    </row>
    <row r="16" spans="1:28" s="5" customFormat="1" ht="22.5" customHeight="1" hidden="1" thickBot="1">
      <c r="A16" s="118"/>
      <c r="B16" s="105"/>
      <c r="C16" s="105" t="s">
        <v>89</v>
      </c>
      <c r="D16" s="342" t="s">
        <v>91</v>
      </c>
      <c r="E16" s="353"/>
      <c r="F16" s="823"/>
      <c r="G16" s="823"/>
      <c r="H16" s="823"/>
      <c r="I16" s="823"/>
      <c r="J16" s="823"/>
      <c r="K16" s="719" t="e">
        <f>I16/H16</f>
        <v>#DIV/0!</v>
      </c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B16" s="996"/>
    </row>
    <row r="17" spans="1:26" s="5" customFormat="1" ht="22.5" customHeight="1" thickBot="1">
      <c r="A17" s="100" t="s">
        <v>28</v>
      </c>
      <c r="B17" s="1161" t="s">
        <v>92</v>
      </c>
      <c r="C17" s="1161"/>
      <c r="D17" s="1161"/>
      <c r="E17" s="349">
        <f aca="true" t="shared" si="8" ref="E17:J17">SUM(E18:E20)</f>
        <v>108911042</v>
      </c>
      <c r="F17" s="820">
        <f t="shared" si="8"/>
        <v>109403802</v>
      </c>
      <c r="G17" s="820">
        <f t="shared" si="8"/>
        <v>131384431</v>
      </c>
      <c r="H17" s="820">
        <f t="shared" si="8"/>
        <v>291575123</v>
      </c>
      <c r="I17" s="820">
        <f t="shared" si="8"/>
        <v>300477793</v>
      </c>
      <c r="J17" s="820">
        <f t="shared" si="8"/>
        <v>309697074</v>
      </c>
      <c r="K17" s="717">
        <f>I17/H17</f>
        <v>1.0305330232167988</v>
      </c>
      <c r="L17" s="349">
        <f>SUM(L18:L20)</f>
        <v>105911042</v>
      </c>
      <c r="M17" s="349">
        <f aca="true" t="shared" si="9" ref="M17:R17">SUM(M18:M20)</f>
        <v>106403802</v>
      </c>
      <c r="N17" s="349">
        <f t="shared" si="9"/>
        <v>128384431</v>
      </c>
      <c r="O17" s="349">
        <f t="shared" si="9"/>
        <v>288575123</v>
      </c>
      <c r="P17" s="349">
        <f t="shared" si="9"/>
        <v>295607793</v>
      </c>
      <c r="Q17" s="349">
        <f t="shared" si="9"/>
        <v>304827074</v>
      </c>
      <c r="R17" s="349" t="e">
        <f t="shared" si="9"/>
        <v>#DIV/0!</v>
      </c>
      <c r="S17" s="349">
        <f>SUM(S18:S20)</f>
        <v>3000000</v>
      </c>
      <c r="T17" s="349">
        <f aca="true" t="shared" si="10" ref="T17:Z17">SUM(T18:T20)</f>
        <v>3000000</v>
      </c>
      <c r="U17" s="349">
        <f t="shared" si="10"/>
        <v>3000000</v>
      </c>
      <c r="V17" s="349">
        <f t="shared" si="10"/>
        <v>3000000</v>
      </c>
      <c r="W17" s="349">
        <f t="shared" si="10"/>
        <v>4870000</v>
      </c>
      <c r="X17" s="349">
        <f t="shared" si="10"/>
        <v>4870000</v>
      </c>
      <c r="Y17" s="349" t="e">
        <f t="shared" si="10"/>
        <v>#DIV/0!</v>
      </c>
      <c r="Z17" s="349">
        <f t="shared" si="10"/>
        <v>0</v>
      </c>
    </row>
    <row r="18" spans="1:26" s="5" customFormat="1" ht="22.5" customHeight="1">
      <c r="A18" s="99"/>
      <c r="B18" s="104" t="s">
        <v>39</v>
      </c>
      <c r="C18" s="1166" t="s">
        <v>93</v>
      </c>
      <c r="D18" s="1166"/>
      <c r="E18" s="348">
        <v>11276042</v>
      </c>
      <c r="F18" s="819">
        <f>11276042+347980+144780</f>
        <v>11768802</v>
      </c>
      <c r="G18" s="819">
        <f>11276042+347980+144780+428221+19134+198000</f>
        <v>12414157</v>
      </c>
      <c r="H18" s="819">
        <f>11276042+347980+144780+428221+19134+198000+85805522</f>
        <v>98219679</v>
      </c>
      <c r="I18" s="819">
        <f>11276042+347980+144780+428221+19134+198000+85805522+165470</f>
        <v>98385149</v>
      </c>
      <c r="J18" s="819">
        <v>98741149</v>
      </c>
      <c r="K18" s="716"/>
      <c r="L18" s="348">
        <f>'7.a.sz.m.fejlesztés (3)'!D23</f>
        <v>11276042</v>
      </c>
      <c r="M18" s="348">
        <f>'7.a.sz.m.fejlesztés (3)'!E23</f>
        <v>11768802</v>
      </c>
      <c r="N18" s="348">
        <f>'7.a.sz.m.fejlesztés (3)'!F23</f>
        <v>12414157</v>
      </c>
      <c r="O18" s="348">
        <f>'7.a.sz.m.fejlesztés (3)'!G23</f>
        <v>98219679</v>
      </c>
      <c r="P18" s="348">
        <f>'7.a.sz.m.fejlesztés (3)'!H23</f>
        <v>98385149</v>
      </c>
      <c r="Q18" s="348">
        <f>'7.a.sz.m.fejlesztés (3)'!I23</f>
        <v>98741149</v>
      </c>
      <c r="R18" s="348">
        <f>'7.a.sz.m.fejlesztés (3)'!J23</f>
        <v>9923814</v>
      </c>
      <c r="S18" s="348">
        <v>0</v>
      </c>
      <c r="T18" s="348">
        <v>0</v>
      </c>
      <c r="U18" s="348">
        <v>0</v>
      </c>
      <c r="V18" s="348">
        <v>0</v>
      </c>
      <c r="W18" s="348">
        <v>0</v>
      </c>
      <c r="X18" s="348">
        <v>0</v>
      </c>
      <c r="Y18" s="348">
        <v>0</v>
      </c>
      <c r="Z18" s="348">
        <v>0</v>
      </c>
    </row>
    <row r="19" spans="1:26" s="5" customFormat="1" ht="22.5" customHeight="1">
      <c r="A19" s="82"/>
      <c r="B19" s="91" t="s">
        <v>40</v>
      </c>
      <c r="C19" s="1167" t="s">
        <v>94</v>
      </c>
      <c r="D19" s="1167"/>
      <c r="E19" s="343">
        <v>94635000</v>
      </c>
      <c r="F19" s="922">
        <v>94635000</v>
      </c>
      <c r="G19" s="922">
        <f>94635000+20835707+499567</f>
        <v>115970274</v>
      </c>
      <c r="H19" s="922">
        <f>94635000+20835707+499567+74385170</f>
        <v>190355444</v>
      </c>
      <c r="I19" s="922">
        <f>94635000+20835707+499567+74385170+6867200</f>
        <v>197222644</v>
      </c>
      <c r="J19" s="922">
        <v>206085925</v>
      </c>
      <c r="K19" s="836"/>
      <c r="L19" s="343">
        <f>'7.a.sz.m.fejlesztés (3)'!D43</f>
        <v>94635000</v>
      </c>
      <c r="M19" s="343">
        <f>'7.a.sz.m.fejlesztés (3)'!E43</f>
        <v>94635000</v>
      </c>
      <c r="N19" s="343">
        <f>'7.a.sz.m.fejlesztés (3)'!F43</f>
        <v>115970274</v>
      </c>
      <c r="O19" s="343">
        <f>'7.a.sz.m.fejlesztés (3)'!G43</f>
        <v>190355444</v>
      </c>
      <c r="P19" s="343">
        <f>'7.a.sz.m.fejlesztés (3)'!H43</f>
        <v>197222644</v>
      </c>
      <c r="Q19" s="343">
        <f>'7.a.sz.m.fejlesztés (3)'!I43</f>
        <v>206085925</v>
      </c>
      <c r="R19" s="343">
        <f>'7.a.sz.m.fejlesztés (3)'!J43</f>
        <v>89942001</v>
      </c>
      <c r="S19" s="343">
        <v>0</v>
      </c>
      <c r="T19" s="343">
        <v>0</v>
      </c>
      <c r="U19" s="343">
        <v>0</v>
      </c>
      <c r="V19" s="343">
        <v>0</v>
      </c>
      <c r="W19" s="343">
        <v>0</v>
      </c>
      <c r="X19" s="343">
        <v>0</v>
      </c>
      <c r="Y19" s="343">
        <v>0</v>
      </c>
      <c r="Z19" s="343">
        <v>0</v>
      </c>
    </row>
    <row r="20" spans="1:26" s="5" customFormat="1" ht="22.5" customHeight="1">
      <c r="A20" s="112"/>
      <c r="B20" s="91" t="s">
        <v>41</v>
      </c>
      <c r="C20" s="1158" t="s">
        <v>95</v>
      </c>
      <c r="D20" s="1158"/>
      <c r="E20" s="394">
        <f aca="true" t="shared" si="11" ref="E20:L20">SUM(E21:E24)</f>
        <v>3000000</v>
      </c>
      <c r="F20" s="921">
        <f t="shared" si="11"/>
        <v>3000000</v>
      </c>
      <c r="G20" s="921">
        <f t="shared" si="11"/>
        <v>3000000</v>
      </c>
      <c r="H20" s="921">
        <f t="shared" si="11"/>
        <v>3000000</v>
      </c>
      <c r="I20" s="921">
        <f t="shared" si="11"/>
        <v>4870000</v>
      </c>
      <c r="J20" s="921">
        <f t="shared" si="11"/>
        <v>4870000</v>
      </c>
      <c r="K20" s="394">
        <f t="shared" si="11"/>
        <v>0</v>
      </c>
      <c r="L20" s="394">
        <f t="shared" si="11"/>
        <v>0</v>
      </c>
      <c r="M20" s="394">
        <f aca="true" t="shared" si="12" ref="M20:R20">SUM(M21:M24)</f>
        <v>0</v>
      </c>
      <c r="N20" s="394">
        <f t="shared" si="12"/>
        <v>0</v>
      </c>
      <c r="O20" s="394">
        <f t="shared" si="12"/>
        <v>0</v>
      </c>
      <c r="P20" s="394">
        <f t="shared" si="12"/>
        <v>0</v>
      </c>
      <c r="Q20" s="394">
        <f t="shared" si="12"/>
        <v>0</v>
      </c>
      <c r="R20" s="394" t="e">
        <f t="shared" si="12"/>
        <v>#DIV/0!</v>
      </c>
      <c r="S20" s="394">
        <f>SUM(S21:S24)</f>
        <v>3000000</v>
      </c>
      <c r="T20" s="394">
        <f aca="true" t="shared" si="13" ref="T20:Z20">SUM(T21:T24)</f>
        <v>3000000</v>
      </c>
      <c r="U20" s="394">
        <f t="shared" si="13"/>
        <v>3000000</v>
      </c>
      <c r="V20" s="394">
        <f t="shared" si="13"/>
        <v>3000000</v>
      </c>
      <c r="W20" s="394">
        <f t="shared" si="13"/>
        <v>4870000</v>
      </c>
      <c r="X20" s="394">
        <f t="shared" si="13"/>
        <v>4870000</v>
      </c>
      <c r="Y20" s="394" t="e">
        <f t="shared" si="13"/>
        <v>#DIV/0!</v>
      </c>
      <c r="Z20" s="394">
        <f t="shared" si="13"/>
        <v>0</v>
      </c>
    </row>
    <row r="21" spans="1:26" s="5" customFormat="1" ht="22.5" customHeight="1">
      <c r="A21" s="88"/>
      <c r="B21" s="92"/>
      <c r="C21" s="92" t="s">
        <v>96</v>
      </c>
      <c r="D21" s="242" t="s">
        <v>86</v>
      </c>
      <c r="E21" s="343">
        <v>3000000</v>
      </c>
      <c r="F21" s="922">
        <v>3000000</v>
      </c>
      <c r="G21" s="922">
        <v>3000000</v>
      </c>
      <c r="H21" s="922">
        <v>3000000</v>
      </c>
      <c r="I21" s="922">
        <f>1800000+70000+3000000</f>
        <v>4870000</v>
      </c>
      <c r="J21" s="922">
        <v>4870000</v>
      </c>
      <c r="K21" s="836"/>
      <c r="L21" s="394">
        <f>E21-S21</f>
        <v>0</v>
      </c>
      <c r="M21" s="394">
        <f aca="true" t="shared" si="14" ref="M21:R21">F21-T21</f>
        <v>0</v>
      </c>
      <c r="N21" s="394">
        <f t="shared" si="14"/>
        <v>0</v>
      </c>
      <c r="O21" s="394">
        <f t="shared" si="14"/>
        <v>0</v>
      </c>
      <c r="P21" s="394">
        <f t="shared" si="14"/>
        <v>0</v>
      </c>
      <c r="Q21" s="394">
        <f t="shared" si="14"/>
        <v>0</v>
      </c>
      <c r="R21" s="394" t="e">
        <f t="shared" si="14"/>
        <v>#DIV/0!</v>
      </c>
      <c r="S21" s="343">
        <f>'10.sz.m.átadott pe (3)'!V60</f>
        <v>3000000</v>
      </c>
      <c r="T21" s="343">
        <f>'10.sz.m.átadott pe (3)'!W60</f>
        <v>3000000</v>
      </c>
      <c r="U21" s="343">
        <f>'10.sz.m.átadott pe (3)'!X60</f>
        <v>3000000</v>
      </c>
      <c r="V21" s="343">
        <f>'10.sz.m.átadott pe (3)'!Y60</f>
        <v>3000000</v>
      </c>
      <c r="W21" s="343">
        <f>'10.sz.m.átadott pe (3)'!Z60</f>
        <v>4870000</v>
      </c>
      <c r="X21" s="343">
        <f>'10.sz.m.átadott pe (3)'!AA60</f>
        <v>4870000</v>
      </c>
      <c r="Y21" s="343" t="e">
        <f>'10.sz.m.átadott pe (3)'!AB60</f>
        <v>#DIV/0!</v>
      </c>
      <c r="Z21" s="343">
        <f>'10.sz.m.átadott pe (3)'!AC60</f>
        <v>0</v>
      </c>
    </row>
    <row r="22" spans="1:26" s="5" customFormat="1" ht="22.5" customHeight="1">
      <c r="A22" s="88"/>
      <c r="B22" s="92"/>
      <c r="C22" s="92" t="s">
        <v>97</v>
      </c>
      <c r="D22" s="242" t="s">
        <v>87</v>
      </c>
      <c r="E22" s="343"/>
      <c r="F22" s="922"/>
      <c r="G22" s="922"/>
      <c r="H22" s="922"/>
      <c r="I22" s="922"/>
      <c r="J22" s="922"/>
      <c r="K22" s="836"/>
      <c r="L22" s="343">
        <v>0</v>
      </c>
      <c r="M22" s="343">
        <v>0</v>
      </c>
      <c r="N22" s="343">
        <v>0</v>
      </c>
      <c r="O22" s="343">
        <v>0</v>
      </c>
      <c r="P22" s="343">
        <v>0</v>
      </c>
      <c r="Q22" s="343">
        <v>0</v>
      </c>
      <c r="R22" s="343">
        <v>0</v>
      </c>
      <c r="S22" s="343">
        <v>0</v>
      </c>
      <c r="T22" s="343">
        <v>0</v>
      </c>
      <c r="U22" s="343">
        <v>0</v>
      </c>
      <c r="V22" s="343">
        <v>0</v>
      </c>
      <c r="W22" s="343">
        <v>0</v>
      </c>
      <c r="X22" s="343">
        <v>0</v>
      </c>
      <c r="Y22" s="343">
        <v>0</v>
      </c>
      <c r="Z22" s="343">
        <v>0</v>
      </c>
    </row>
    <row r="23" spans="1:26" s="5" customFormat="1" ht="36.75" customHeight="1">
      <c r="A23" s="112"/>
      <c r="B23" s="242"/>
      <c r="C23" s="92" t="s">
        <v>98</v>
      </c>
      <c r="D23" s="242" t="s">
        <v>500</v>
      </c>
      <c r="E23" s="394"/>
      <c r="F23" s="921"/>
      <c r="G23" s="921"/>
      <c r="H23" s="921"/>
      <c r="I23" s="921"/>
      <c r="J23" s="921"/>
      <c r="K23" s="835"/>
      <c r="L23" s="394">
        <v>0</v>
      </c>
      <c r="M23" s="394">
        <v>0</v>
      </c>
      <c r="N23" s="394">
        <v>0</v>
      </c>
      <c r="O23" s="394">
        <v>0</v>
      </c>
      <c r="P23" s="394">
        <v>0</v>
      </c>
      <c r="Q23" s="394">
        <v>0</v>
      </c>
      <c r="R23" s="394">
        <v>0</v>
      </c>
      <c r="S23" s="394">
        <v>0</v>
      </c>
      <c r="T23" s="394">
        <v>0</v>
      </c>
      <c r="U23" s="394">
        <v>0</v>
      </c>
      <c r="V23" s="394">
        <v>0</v>
      </c>
      <c r="W23" s="394">
        <v>0</v>
      </c>
      <c r="X23" s="394">
        <v>0</v>
      </c>
      <c r="Y23" s="394">
        <v>0</v>
      </c>
      <c r="Z23" s="394">
        <v>0</v>
      </c>
    </row>
    <row r="24" spans="1:26" s="5" customFormat="1" ht="22.5" customHeight="1" thickBot="1">
      <c r="A24" s="267"/>
      <c r="B24" s="268"/>
      <c r="C24" s="269" t="s">
        <v>209</v>
      </c>
      <c r="D24" s="268" t="s">
        <v>210</v>
      </c>
      <c r="E24" s="396">
        <v>0</v>
      </c>
      <c r="F24" s="923">
        <v>0</v>
      </c>
      <c r="G24" s="923">
        <v>0</v>
      </c>
      <c r="H24" s="923">
        <v>0</v>
      </c>
      <c r="I24" s="923">
        <v>0</v>
      </c>
      <c r="J24" s="923">
        <v>0</v>
      </c>
      <c r="K24" s="837"/>
      <c r="L24" s="396">
        <v>0</v>
      </c>
      <c r="M24" s="396">
        <v>0</v>
      </c>
      <c r="N24" s="396">
        <v>0</v>
      </c>
      <c r="O24" s="396">
        <v>0</v>
      </c>
      <c r="P24" s="396">
        <v>0</v>
      </c>
      <c r="Q24" s="396">
        <v>0</v>
      </c>
      <c r="R24" s="396">
        <v>0</v>
      </c>
      <c r="S24" s="396">
        <v>0</v>
      </c>
      <c r="T24" s="396">
        <v>0</v>
      </c>
      <c r="U24" s="396">
        <v>0</v>
      </c>
      <c r="V24" s="396">
        <v>0</v>
      </c>
      <c r="W24" s="396">
        <v>0</v>
      </c>
      <c r="X24" s="396">
        <v>0</v>
      </c>
      <c r="Y24" s="396">
        <v>0</v>
      </c>
      <c r="Z24" s="396">
        <v>0</v>
      </c>
    </row>
    <row r="25" spans="1:26" s="5" customFormat="1" ht="22.5" customHeight="1" thickBot="1">
      <c r="A25" s="100" t="s">
        <v>10</v>
      </c>
      <c r="B25" s="1161" t="s">
        <v>99</v>
      </c>
      <c r="C25" s="1161"/>
      <c r="D25" s="1161"/>
      <c r="E25" s="349">
        <f aca="true" t="shared" si="15" ref="E25:J25">SUM(E26:E28)</f>
        <v>77908803</v>
      </c>
      <c r="F25" s="820">
        <f t="shared" si="15"/>
        <v>75176682</v>
      </c>
      <c r="G25" s="820">
        <f t="shared" si="15"/>
        <v>54733454</v>
      </c>
      <c r="H25" s="820">
        <f t="shared" si="15"/>
        <v>63534084</v>
      </c>
      <c r="I25" s="820">
        <f t="shared" si="15"/>
        <v>57410165</v>
      </c>
      <c r="J25" s="820">
        <f t="shared" si="15"/>
        <v>0</v>
      </c>
      <c r="K25" s="717">
        <f>I25/H25</f>
        <v>0.9036120675006505</v>
      </c>
      <c r="L25" s="349">
        <f>SUM(L26:L28)</f>
        <v>77908803</v>
      </c>
      <c r="M25" s="349">
        <f aca="true" t="shared" si="16" ref="M25:R25">SUM(M26:M28)</f>
        <v>75176682</v>
      </c>
      <c r="N25" s="349">
        <f t="shared" si="16"/>
        <v>54733454</v>
      </c>
      <c r="O25" s="349">
        <f t="shared" si="16"/>
        <v>63534084</v>
      </c>
      <c r="P25" s="349">
        <f t="shared" si="16"/>
        <v>57410165</v>
      </c>
      <c r="Q25" s="349">
        <f t="shared" si="16"/>
        <v>0</v>
      </c>
      <c r="R25" s="349">
        <f t="shared" si="16"/>
        <v>0</v>
      </c>
      <c r="S25" s="349">
        <f>SUM(S26:S28)</f>
        <v>0</v>
      </c>
      <c r="T25" s="349">
        <f aca="true" t="shared" si="17" ref="T25:Z25">SUM(T26:T28)</f>
        <v>0</v>
      </c>
      <c r="U25" s="349">
        <f t="shared" si="17"/>
        <v>0</v>
      </c>
      <c r="V25" s="349">
        <f t="shared" si="17"/>
        <v>0</v>
      </c>
      <c r="W25" s="349">
        <f t="shared" si="17"/>
        <v>0</v>
      </c>
      <c r="X25" s="349">
        <f t="shared" si="17"/>
        <v>0</v>
      </c>
      <c r="Y25" s="349">
        <f t="shared" si="17"/>
        <v>0</v>
      </c>
      <c r="Z25" s="349">
        <f t="shared" si="17"/>
        <v>0</v>
      </c>
    </row>
    <row r="26" spans="1:26" s="5" customFormat="1" ht="22.5" customHeight="1">
      <c r="A26" s="99"/>
      <c r="B26" s="104" t="s">
        <v>42</v>
      </c>
      <c r="C26" s="1166" t="s">
        <v>3</v>
      </c>
      <c r="D26" s="1166"/>
      <c r="E26" s="348">
        <f>77145471+763332</f>
        <v>77908803</v>
      </c>
      <c r="F26" s="819">
        <f>77145471+763332-1957000-14999-538480-76862-144780</f>
        <v>75176682</v>
      </c>
      <c r="G26" s="819">
        <f>77145471+763332-1957000-14999-538480-76862-144780-20143661-499567+200000</f>
        <v>54733454</v>
      </c>
      <c r="H26" s="819">
        <f>77145471+763332-1957000-14999-538480-76862-144780-20143661-499567+200000+8686148+114482</f>
        <v>63534084</v>
      </c>
      <c r="I26" s="819">
        <f>77145471+763332-1957000-14999-538480-76862-144780-20143661-499567+200000+8686148+114482+2895383-9019302</f>
        <v>57410165</v>
      </c>
      <c r="J26" s="819">
        <v>0</v>
      </c>
      <c r="K26" s="716"/>
      <c r="L26" s="348">
        <f>E26</f>
        <v>77908803</v>
      </c>
      <c r="M26" s="348">
        <f aca="true" t="shared" si="18" ref="M26:R26">F26</f>
        <v>75176682</v>
      </c>
      <c r="N26" s="348">
        <f t="shared" si="18"/>
        <v>54733454</v>
      </c>
      <c r="O26" s="348">
        <f t="shared" si="18"/>
        <v>63534084</v>
      </c>
      <c r="P26" s="348">
        <f t="shared" si="18"/>
        <v>57410165</v>
      </c>
      <c r="Q26" s="348">
        <f t="shared" si="18"/>
        <v>0</v>
      </c>
      <c r="R26" s="348">
        <f t="shared" si="18"/>
        <v>0</v>
      </c>
      <c r="S26" s="348">
        <v>0</v>
      </c>
      <c r="T26" s="348">
        <v>0</v>
      </c>
      <c r="U26" s="348">
        <v>0</v>
      </c>
      <c r="V26" s="348">
        <v>0</v>
      </c>
      <c r="W26" s="348">
        <v>0</v>
      </c>
      <c r="X26" s="348">
        <v>0</v>
      </c>
      <c r="Y26" s="348">
        <v>0</v>
      </c>
      <c r="Z26" s="348">
        <v>0</v>
      </c>
    </row>
    <row r="27" spans="1:26" s="8" customFormat="1" ht="22.5" customHeight="1">
      <c r="A27" s="113"/>
      <c r="B27" s="91" t="s">
        <v>43</v>
      </c>
      <c r="C27" s="1165" t="s">
        <v>283</v>
      </c>
      <c r="D27" s="1165"/>
      <c r="E27" s="343">
        <v>0</v>
      </c>
      <c r="F27" s="922">
        <v>0</v>
      </c>
      <c r="G27" s="922">
        <v>0</v>
      </c>
      <c r="H27" s="922">
        <v>0</v>
      </c>
      <c r="I27" s="922">
        <v>0</v>
      </c>
      <c r="J27" s="922">
        <v>0</v>
      </c>
      <c r="K27" s="836"/>
      <c r="L27" s="343">
        <v>0</v>
      </c>
      <c r="M27" s="343">
        <v>0</v>
      </c>
      <c r="N27" s="343">
        <v>0</v>
      </c>
      <c r="O27" s="343">
        <v>0</v>
      </c>
      <c r="P27" s="343">
        <v>0</v>
      </c>
      <c r="Q27" s="343">
        <v>0</v>
      </c>
      <c r="R27" s="343">
        <v>0</v>
      </c>
      <c r="S27" s="343">
        <v>0</v>
      </c>
      <c r="T27" s="343">
        <v>0</v>
      </c>
      <c r="U27" s="343">
        <v>0</v>
      </c>
      <c r="V27" s="343">
        <v>0</v>
      </c>
      <c r="W27" s="343">
        <v>0</v>
      </c>
      <c r="X27" s="343">
        <v>0</v>
      </c>
      <c r="Y27" s="343">
        <v>0</v>
      </c>
      <c r="Z27" s="343">
        <v>0</v>
      </c>
    </row>
    <row r="28" spans="1:26" s="8" customFormat="1" ht="22.5" customHeight="1" thickBot="1">
      <c r="A28" s="119"/>
      <c r="B28" s="105" t="s">
        <v>67</v>
      </c>
      <c r="C28" s="120" t="s">
        <v>100</v>
      </c>
      <c r="D28" s="120"/>
      <c r="E28" s="361">
        <v>0</v>
      </c>
      <c r="F28" s="924">
        <v>0</v>
      </c>
      <c r="G28" s="924">
        <v>0</v>
      </c>
      <c r="H28" s="924">
        <v>0</v>
      </c>
      <c r="I28" s="924">
        <v>0</v>
      </c>
      <c r="J28" s="924">
        <v>0</v>
      </c>
      <c r="K28" s="838"/>
      <c r="L28" s="361">
        <v>0</v>
      </c>
      <c r="M28" s="361">
        <v>0</v>
      </c>
      <c r="N28" s="361">
        <v>0</v>
      </c>
      <c r="O28" s="361">
        <v>0</v>
      </c>
      <c r="P28" s="361">
        <v>0</v>
      </c>
      <c r="Q28" s="361">
        <v>0</v>
      </c>
      <c r="R28" s="361">
        <v>0</v>
      </c>
      <c r="S28" s="361">
        <v>0</v>
      </c>
      <c r="T28" s="361">
        <v>0</v>
      </c>
      <c r="U28" s="361">
        <v>0</v>
      </c>
      <c r="V28" s="361">
        <v>0</v>
      </c>
      <c r="W28" s="361">
        <v>0</v>
      </c>
      <c r="X28" s="361">
        <v>0</v>
      </c>
      <c r="Y28" s="361">
        <v>0</v>
      </c>
      <c r="Z28" s="361">
        <v>0</v>
      </c>
    </row>
    <row r="29" spans="1:26" s="65" customFormat="1" ht="22.5" customHeight="1" thickBot="1">
      <c r="A29" s="80" t="s">
        <v>11</v>
      </c>
      <c r="B29" s="106" t="s">
        <v>101</v>
      </c>
      <c r="C29" s="106"/>
      <c r="D29" s="106"/>
      <c r="E29" s="350">
        <v>0</v>
      </c>
      <c r="F29" s="821">
        <v>0</v>
      </c>
      <c r="G29" s="821">
        <v>0</v>
      </c>
      <c r="H29" s="821">
        <v>0</v>
      </c>
      <c r="I29" s="821">
        <v>0</v>
      </c>
      <c r="J29" s="821">
        <v>0</v>
      </c>
      <c r="K29" s="718"/>
      <c r="L29" s="350">
        <v>0</v>
      </c>
      <c r="M29" s="350">
        <v>0</v>
      </c>
      <c r="N29" s="350">
        <v>0</v>
      </c>
      <c r="O29" s="350">
        <v>0</v>
      </c>
      <c r="P29" s="350">
        <v>0</v>
      </c>
      <c r="Q29" s="350">
        <v>0</v>
      </c>
      <c r="R29" s="350">
        <v>0</v>
      </c>
      <c r="S29" s="350">
        <v>0</v>
      </c>
      <c r="T29" s="350">
        <v>0</v>
      </c>
      <c r="U29" s="350">
        <v>0</v>
      </c>
      <c r="V29" s="350">
        <v>0</v>
      </c>
      <c r="W29" s="350">
        <v>0</v>
      </c>
      <c r="X29" s="350">
        <v>0</v>
      </c>
      <c r="Y29" s="350">
        <v>0</v>
      </c>
      <c r="Z29" s="350">
        <v>0</v>
      </c>
    </row>
    <row r="30" spans="1:26" s="65" customFormat="1" ht="22.5" customHeight="1" hidden="1" thickBot="1">
      <c r="A30" s="100"/>
      <c r="B30" s="1161"/>
      <c r="C30" s="1161"/>
      <c r="D30" s="1161"/>
      <c r="E30" s="750"/>
      <c r="F30" s="925"/>
      <c r="G30" s="925"/>
      <c r="H30" s="925"/>
      <c r="I30" s="925"/>
      <c r="J30" s="925"/>
      <c r="K30" s="839"/>
      <c r="L30" s="750"/>
      <c r="M30" s="750"/>
      <c r="N30" s="750"/>
      <c r="O30" s="750"/>
      <c r="P30" s="750"/>
      <c r="Q30" s="750"/>
      <c r="R30" s="750"/>
      <c r="S30" s="750"/>
      <c r="T30" s="750"/>
      <c r="U30" s="750"/>
      <c r="V30" s="750"/>
      <c r="W30" s="750"/>
      <c r="X30" s="750"/>
      <c r="Y30" s="750"/>
      <c r="Z30" s="750"/>
    </row>
    <row r="31" spans="1:26" s="65" customFormat="1" ht="22.5" customHeight="1" thickBot="1">
      <c r="A31" s="100" t="s">
        <v>12</v>
      </c>
      <c r="B31" s="1121" t="s">
        <v>102</v>
      </c>
      <c r="C31" s="1121"/>
      <c r="D31" s="1121"/>
      <c r="E31" s="347">
        <f aca="true" t="shared" si="19" ref="E31:J31">E6+E17+E25+E29</f>
        <v>431633553</v>
      </c>
      <c r="F31" s="818">
        <f t="shared" si="19"/>
        <v>431618554</v>
      </c>
      <c r="G31" s="818">
        <f t="shared" si="19"/>
        <v>436968404</v>
      </c>
      <c r="H31" s="818">
        <f t="shared" si="19"/>
        <v>614299026</v>
      </c>
      <c r="I31" s="818">
        <f t="shared" si="19"/>
        <v>624378429</v>
      </c>
      <c r="J31" s="818">
        <f t="shared" si="19"/>
        <v>665781971</v>
      </c>
      <c r="K31" s="715">
        <f>I31/H31</f>
        <v>1.0164079749004844</v>
      </c>
      <c r="L31" s="347">
        <f>L6+L17+L25</f>
        <v>410688071</v>
      </c>
      <c r="M31" s="347">
        <f aca="true" t="shared" si="20" ref="M31:R31">M6+M17+M25</f>
        <v>408682571</v>
      </c>
      <c r="N31" s="347">
        <f t="shared" si="20"/>
        <v>414187680</v>
      </c>
      <c r="O31" s="347">
        <f t="shared" si="20"/>
        <v>591518301</v>
      </c>
      <c r="P31" s="347">
        <f t="shared" si="20"/>
        <v>601316703</v>
      </c>
      <c r="Q31" s="347">
        <f t="shared" si="20"/>
        <v>645631340</v>
      </c>
      <c r="R31" s="347" t="e">
        <f t="shared" si="20"/>
        <v>#DIV/0!</v>
      </c>
      <c r="S31" s="347">
        <f>S6+S17+S25+S29+S35</f>
        <v>20945482</v>
      </c>
      <c r="T31" s="347">
        <f aca="true" t="shared" si="21" ref="T31:Z31">T6+T17+T25+T29+T35</f>
        <v>22935984</v>
      </c>
      <c r="U31" s="347">
        <f t="shared" si="21"/>
        <v>22780726</v>
      </c>
      <c r="V31" s="347">
        <f t="shared" si="21"/>
        <v>22780728</v>
      </c>
      <c r="W31" s="347">
        <f t="shared" si="21"/>
        <v>22850730</v>
      </c>
      <c r="X31" s="347">
        <f t="shared" si="21"/>
        <v>20150631</v>
      </c>
      <c r="Y31" s="347" t="e">
        <f t="shared" si="21"/>
        <v>#DIV/0!</v>
      </c>
      <c r="Z31" s="347">
        <f t="shared" si="21"/>
        <v>15.864876683082898</v>
      </c>
    </row>
    <row r="32" spans="1:26" s="65" customFormat="1" ht="22.5" customHeight="1" thickBot="1">
      <c r="A32" s="78" t="s">
        <v>13</v>
      </c>
      <c r="B32" s="1168" t="s">
        <v>103</v>
      </c>
      <c r="C32" s="1168"/>
      <c r="D32" s="1168"/>
      <c r="E32" s="352">
        <f aca="true" t="shared" si="22" ref="E32:J32">SUM(E33:E36)</f>
        <v>232217284</v>
      </c>
      <c r="F32" s="822">
        <f t="shared" si="22"/>
        <v>232232283</v>
      </c>
      <c r="G32" s="822">
        <f t="shared" si="22"/>
        <v>232248598</v>
      </c>
      <c r="H32" s="822">
        <f t="shared" si="22"/>
        <v>232248598</v>
      </c>
      <c r="I32" s="822">
        <f t="shared" si="22"/>
        <v>232686795</v>
      </c>
      <c r="J32" s="822">
        <f t="shared" si="22"/>
        <v>217015617</v>
      </c>
      <c r="K32" s="352">
        <f>SUM(K33:K36)</f>
        <v>0</v>
      </c>
      <c r="L32" s="352">
        <f>SUM(L33:L36)</f>
        <v>232217284</v>
      </c>
      <c r="M32" s="352">
        <f aca="true" t="shared" si="23" ref="M32:R32">SUM(M33:M36)</f>
        <v>232232283</v>
      </c>
      <c r="N32" s="352">
        <f t="shared" si="23"/>
        <v>232248598</v>
      </c>
      <c r="O32" s="352">
        <f t="shared" si="23"/>
        <v>232248598</v>
      </c>
      <c r="P32" s="352">
        <f t="shared" si="23"/>
        <v>232686795</v>
      </c>
      <c r="Q32" s="352">
        <f t="shared" si="23"/>
        <v>217015617</v>
      </c>
      <c r="R32" s="352">
        <f t="shared" si="23"/>
        <v>0</v>
      </c>
      <c r="S32" s="352">
        <f>SUM(S33:S35)</f>
        <v>0</v>
      </c>
      <c r="T32" s="352">
        <f aca="true" t="shared" si="24" ref="T32:Z32">SUM(T33:T35)</f>
        <v>1</v>
      </c>
      <c r="U32" s="352">
        <f t="shared" si="24"/>
        <v>2</v>
      </c>
      <c r="V32" s="352">
        <f t="shared" si="24"/>
        <v>3</v>
      </c>
      <c r="W32" s="352">
        <f t="shared" si="24"/>
        <v>4</v>
      </c>
      <c r="X32" s="352">
        <f t="shared" si="24"/>
        <v>0</v>
      </c>
      <c r="Y32" s="352">
        <f t="shared" si="24"/>
        <v>6</v>
      </c>
      <c r="Z32" s="352">
        <f t="shared" si="24"/>
        <v>7</v>
      </c>
    </row>
    <row r="33" spans="1:26" s="5" customFormat="1" ht="22.5" customHeight="1">
      <c r="A33" s="122"/>
      <c r="B33" s="104" t="s">
        <v>46</v>
      </c>
      <c r="C33" s="1190" t="s">
        <v>285</v>
      </c>
      <c r="D33" s="1190"/>
      <c r="E33" s="348">
        <v>3023740</v>
      </c>
      <c r="F33" s="819">
        <v>3023740</v>
      </c>
      <c r="G33" s="819">
        <v>3023740</v>
      </c>
      <c r="H33" s="819">
        <v>3023740</v>
      </c>
      <c r="I33" s="819">
        <v>3023740</v>
      </c>
      <c r="J33" s="348">
        <v>3023740</v>
      </c>
      <c r="K33" s="716"/>
      <c r="L33" s="348">
        <f>E33</f>
        <v>3023740</v>
      </c>
      <c r="M33" s="348">
        <f aca="true" t="shared" si="25" ref="M33:R36">F33</f>
        <v>3023740</v>
      </c>
      <c r="N33" s="348">
        <f t="shared" si="25"/>
        <v>3023740</v>
      </c>
      <c r="O33" s="348">
        <f t="shared" si="25"/>
        <v>3023740</v>
      </c>
      <c r="P33" s="348">
        <f t="shared" si="25"/>
        <v>3023740</v>
      </c>
      <c r="Q33" s="348">
        <f t="shared" si="25"/>
        <v>3023740</v>
      </c>
      <c r="R33" s="348">
        <f t="shared" si="25"/>
        <v>0</v>
      </c>
      <c r="S33" s="348"/>
      <c r="T33" s="348"/>
      <c r="U33" s="348"/>
      <c r="V33" s="348"/>
      <c r="W33" s="348"/>
      <c r="X33" s="348"/>
      <c r="Y33" s="348"/>
      <c r="Z33" s="348"/>
    </row>
    <row r="34" spans="1:26" s="5" customFormat="1" ht="22.5" customHeight="1">
      <c r="A34" s="82"/>
      <c r="B34" s="91" t="s">
        <v>328</v>
      </c>
      <c r="C34" s="1167" t="s">
        <v>480</v>
      </c>
      <c r="D34" s="1167"/>
      <c r="E34" s="394">
        <v>29500000</v>
      </c>
      <c r="F34" s="921">
        <v>29500000</v>
      </c>
      <c r="G34" s="921">
        <v>29500000</v>
      </c>
      <c r="H34" s="921">
        <v>29500000</v>
      </c>
      <c r="I34" s="921">
        <v>29500000</v>
      </c>
      <c r="J34" s="394">
        <v>29500000</v>
      </c>
      <c r="K34" s="835"/>
      <c r="L34" s="394">
        <f>E34</f>
        <v>29500000</v>
      </c>
      <c r="M34" s="394">
        <f t="shared" si="25"/>
        <v>29500000</v>
      </c>
      <c r="N34" s="394">
        <f t="shared" si="25"/>
        <v>29500000</v>
      </c>
      <c r="O34" s="394">
        <f t="shared" si="25"/>
        <v>29500000</v>
      </c>
      <c r="P34" s="394">
        <f t="shared" si="25"/>
        <v>29500000</v>
      </c>
      <c r="Q34" s="394">
        <f t="shared" si="25"/>
        <v>29500000</v>
      </c>
      <c r="R34" s="394">
        <f t="shared" si="25"/>
        <v>0</v>
      </c>
      <c r="S34" s="394"/>
      <c r="T34" s="394"/>
      <c r="U34" s="394"/>
      <c r="V34" s="394"/>
      <c r="W34" s="394"/>
      <c r="X34" s="394"/>
      <c r="Y34" s="394"/>
      <c r="Z34" s="394"/>
    </row>
    <row r="35" spans="1:26" s="5" customFormat="1" ht="22.5" customHeight="1" thickBot="1">
      <c r="A35" s="606"/>
      <c r="B35" s="607" t="s">
        <v>439</v>
      </c>
      <c r="C35" s="608" t="s">
        <v>284</v>
      </c>
      <c r="D35" s="608"/>
      <c r="E35" s="609">
        <v>191571125</v>
      </c>
      <c r="F35" s="926">
        <f>191571125+14999</f>
        <v>191586124</v>
      </c>
      <c r="G35" s="926">
        <f>191571125+14999+4445+11870</f>
        <v>191602439</v>
      </c>
      <c r="H35" s="926">
        <f>191571125+14999+4445+11870</f>
        <v>191602439</v>
      </c>
      <c r="I35" s="926">
        <f>191571125+14999+4445+11870+438197</f>
        <v>192040636</v>
      </c>
      <c r="J35" s="926">
        <v>176369458</v>
      </c>
      <c r="K35" s="840"/>
      <c r="L35" s="609">
        <f>E35</f>
        <v>191571125</v>
      </c>
      <c r="M35" s="609">
        <f t="shared" si="25"/>
        <v>191586124</v>
      </c>
      <c r="N35" s="609">
        <f t="shared" si="25"/>
        <v>191602439</v>
      </c>
      <c r="O35" s="609">
        <f t="shared" si="25"/>
        <v>191602439</v>
      </c>
      <c r="P35" s="609">
        <f t="shared" si="25"/>
        <v>192040636</v>
      </c>
      <c r="Q35" s="609">
        <f t="shared" si="25"/>
        <v>176369458</v>
      </c>
      <c r="R35" s="609">
        <f t="shared" si="25"/>
        <v>0</v>
      </c>
      <c r="S35" s="609">
        <v>0</v>
      </c>
      <c r="T35" s="609">
        <v>1</v>
      </c>
      <c r="U35" s="609">
        <v>2</v>
      </c>
      <c r="V35" s="609">
        <v>3</v>
      </c>
      <c r="W35" s="609">
        <v>4</v>
      </c>
      <c r="X35" s="609">
        <v>0</v>
      </c>
      <c r="Y35" s="609">
        <v>6</v>
      </c>
      <c r="Z35" s="609">
        <v>7</v>
      </c>
    </row>
    <row r="36" spans="1:26" s="5" customFormat="1" ht="22.5" customHeight="1" thickBot="1">
      <c r="A36" s="606"/>
      <c r="B36" s="607" t="s">
        <v>477</v>
      </c>
      <c r="C36" s="608" t="s">
        <v>438</v>
      </c>
      <c r="D36" s="608"/>
      <c r="E36" s="609">
        <v>8122419</v>
      </c>
      <c r="F36" s="926">
        <v>8122419</v>
      </c>
      <c r="G36" s="926">
        <v>8122419</v>
      </c>
      <c r="H36" s="926">
        <v>8122419</v>
      </c>
      <c r="I36" s="926">
        <v>8122419</v>
      </c>
      <c r="J36" s="609">
        <v>8122419</v>
      </c>
      <c r="K36" s="840"/>
      <c r="L36" s="609">
        <f>E36</f>
        <v>8122419</v>
      </c>
      <c r="M36" s="609">
        <f t="shared" si="25"/>
        <v>8122419</v>
      </c>
      <c r="N36" s="609">
        <f t="shared" si="25"/>
        <v>8122419</v>
      </c>
      <c r="O36" s="609">
        <f t="shared" si="25"/>
        <v>8122419</v>
      </c>
      <c r="P36" s="609">
        <f t="shared" si="25"/>
        <v>8122419</v>
      </c>
      <c r="Q36" s="609">
        <f t="shared" si="25"/>
        <v>8122419</v>
      </c>
      <c r="R36" s="609">
        <f t="shared" si="25"/>
        <v>0</v>
      </c>
      <c r="S36" s="609"/>
      <c r="T36" s="609"/>
      <c r="U36" s="609"/>
      <c r="V36" s="609"/>
      <c r="W36" s="609"/>
      <c r="X36" s="609"/>
      <c r="Y36" s="609"/>
      <c r="Z36" s="609"/>
    </row>
    <row r="37" spans="1:26" s="5" customFormat="1" ht="22.5" customHeight="1" thickBot="1">
      <c r="A37" s="100" t="s">
        <v>478</v>
      </c>
      <c r="B37" s="1121" t="s">
        <v>239</v>
      </c>
      <c r="C37" s="1121"/>
      <c r="D37" s="1121"/>
      <c r="E37" s="349">
        <f aca="true" t="shared" si="26" ref="E37:J37">E31+E32</f>
        <v>663850837</v>
      </c>
      <c r="F37" s="820">
        <f t="shared" si="26"/>
        <v>663850837</v>
      </c>
      <c r="G37" s="820">
        <f t="shared" si="26"/>
        <v>669217002</v>
      </c>
      <c r="H37" s="820">
        <f t="shared" si="26"/>
        <v>846547624</v>
      </c>
      <c r="I37" s="820">
        <f t="shared" si="26"/>
        <v>857065224</v>
      </c>
      <c r="J37" s="820">
        <f t="shared" si="26"/>
        <v>882797588</v>
      </c>
      <c r="K37" s="717">
        <f>I37/H37</f>
        <v>1.012424109054023</v>
      </c>
      <c r="L37" s="349">
        <f>L31+L32</f>
        <v>642905355</v>
      </c>
      <c r="M37" s="349">
        <f aca="true" t="shared" si="27" ref="M37:R37">M31+M32</f>
        <v>640914854</v>
      </c>
      <c r="N37" s="349">
        <f t="shared" si="27"/>
        <v>646436278</v>
      </c>
      <c r="O37" s="349">
        <f t="shared" si="27"/>
        <v>823766899</v>
      </c>
      <c r="P37" s="349">
        <f t="shared" si="27"/>
        <v>834003498</v>
      </c>
      <c r="Q37" s="349">
        <f t="shared" si="27"/>
        <v>862646957</v>
      </c>
      <c r="R37" s="349" t="e">
        <f t="shared" si="27"/>
        <v>#DIV/0!</v>
      </c>
      <c r="S37" s="349">
        <f>S31+S32</f>
        <v>20945482</v>
      </c>
      <c r="T37" s="349">
        <f aca="true" t="shared" si="28" ref="T37:Z37">T31+T32</f>
        <v>22935985</v>
      </c>
      <c r="U37" s="349">
        <f t="shared" si="28"/>
        <v>22780728</v>
      </c>
      <c r="V37" s="349">
        <f t="shared" si="28"/>
        <v>22780731</v>
      </c>
      <c r="W37" s="349">
        <f t="shared" si="28"/>
        <v>22850734</v>
      </c>
      <c r="X37" s="349">
        <f t="shared" si="28"/>
        <v>20150631</v>
      </c>
      <c r="Y37" s="349" t="e">
        <f t="shared" si="28"/>
        <v>#DIV/0!</v>
      </c>
      <c r="Z37" s="349">
        <f t="shared" si="28"/>
        <v>22.864876683082898</v>
      </c>
    </row>
    <row r="38" spans="1:26" s="5" customFormat="1" ht="19.5" customHeight="1" hidden="1" thickBot="1">
      <c r="A38" s="1129" t="s">
        <v>240</v>
      </c>
      <c r="B38" s="1130"/>
      <c r="C38" s="1130"/>
      <c r="D38" s="1130"/>
      <c r="E38" s="549"/>
      <c r="F38" s="927"/>
      <c r="G38" s="927"/>
      <c r="H38" s="927"/>
      <c r="I38" s="927"/>
      <c r="J38" s="927"/>
      <c r="K38" s="551" t="e">
        <f>I38/H38</f>
        <v>#DIV/0!</v>
      </c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49"/>
    </row>
    <row r="39" spans="1:26" s="5" customFormat="1" ht="19.5" customHeight="1" thickBot="1">
      <c r="A39" s="1120" t="s">
        <v>8</v>
      </c>
      <c r="B39" s="1121"/>
      <c r="C39" s="1121"/>
      <c r="D39" s="1121"/>
      <c r="E39" s="397">
        <f aca="true" t="shared" si="29" ref="E39:J39">SUM(E37:E38)</f>
        <v>663850837</v>
      </c>
      <c r="F39" s="928">
        <f t="shared" si="29"/>
        <v>663850837</v>
      </c>
      <c r="G39" s="928">
        <f>SUM(G37:G38)</f>
        <v>669217002</v>
      </c>
      <c r="H39" s="928">
        <f>SUM(H37:H38)</f>
        <v>846547624</v>
      </c>
      <c r="I39" s="928">
        <f>SUM(I37:I38)</f>
        <v>857065224</v>
      </c>
      <c r="J39" s="928">
        <f t="shared" si="29"/>
        <v>882797588</v>
      </c>
      <c r="K39" s="399">
        <f>I39/H39</f>
        <v>1.012424109054023</v>
      </c>
      <c r="L39" s="397">
        <f>SUM(L37:L38)</f>
        <v>642905355</v>
      </c>
      <c r="M39" s="397">
        <f aca="true" t="shared" si="30" ref="M39:R39">SUM(M37:M38)</f>
        <v>640914854</v>
      </c>
      <c r="N39" s="397">
        <f t="shared" si="30"/>
        <v>646436278</v>
      </c>
      <c r="O39" s="397">
        <f t="shared" si="30"/>
        <v>823766899</v>
      </c>
      <c r="P39" s="397">
        <f t="shared" si="30"/>
        <v>834003498</v>
      </c>
      <c r="Q39" s="397">
        <f t="shared" si="30"/>
        <v>862646957</v>
      </c>
      <c r="R39" s="397" t="e">
        <f t="shared" si="30"/>
        <v>#DIV/0!</v>
      </c>
      <c r="S39" s="397">
        <f>SUM(S37:S38)</f>
        <v>20945482</v>
      </c>
      <c r="T39" s="397">
        <f aca="true" t="shared" si="31" ref="T39:Z39">SUM(T37:T38)</f>
        <v>22935985</v>
      </c>
      <c r="U39" s="397">
        <f t="shared" si="31"/>
        <v>22780728</v>
      </c>
      <c r="V39" s="397">
        <f t="shared" si="31"/>
        <v>22780731</v>
      </c>
      <c r="W39" s="397">
        <f t="shared" si="31"/>
        <v>22850734</v>
      </c>
      <c r="X39" s="397">
        <f t="shared" si="31"/>
        <v>20150631</v>
      </c>
      <c r="Y39" s="397" t="e">
        <f t="shared" si="31"/>
        <v>#DIV/0!</v>
      </c>
      <c r="Z39" s="397">
        <f t="shared" si="31"/>
        <v>22.864876683082898</v>
      </c>
    </row>
    <row r="40" spans="1:26" s="5" customFormat="1" ht="19.5" customHeight="1">
      <c r="A40" s="445"/>
      <c r="B40" s="556"/>
      <c r="C40" s="445"/>
      <c r="D40" s="445"/>
      <c r="E40" s="557"/>
      <c r="F40" s="557"/>
      <c r="G40" s="557"/>
      <c r="H40" s="557"/>
      <c r="I40" s="557"/>
      <c r="J40" s="557"/>
      <c r="K40" s="557"/>
      <c r="L40" s="558"/>
      <c r="M40" s="558"/>
      <c r="N40" s="558"/>
      <c r="O40" s="558"/>
      <c r="P40" s="558"/>
      <c r="Q40" s="558"/>
      <c r="R40" s="558"/>
      <c r="S40" s="558"/>
      <c r="T40" s="558"/>
      <c r="U40" s="558"/>
      <c r="V40" s="558"/>
      <c r="W40" s="558"/>
      <c r="X40" s="558"/>
      <c r="Y40" s="558"/>
      <c r="Z40" s="558"/>
    </row>
    <row r="41" spans="1:26" s="5" customFormat="1" ht="19.5" customHeight="1">
      <c r="A41" s="57"/>
      <c r="B41" s="60"/>
      <c r="C41" s="60"/>
      <c r="D41" s="27"/>
      <c r="E41" s="6"/>
      <c r="F41" s="6"/>
      <c r="G41" s="6"/>
      <c r="H41" s="6"/>
      <c r="I41" s="6"/>
      <c r="J41" s="6"/>
      <c r="K41" s="6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</row>
    <row r="42" spans="1:11" ht="15.75">
      <c r="A42" s="109"/>
      <c r="B42" s="56"/>
      <c r="C42" s="56"/>
      <c r="D42" s="27"/>
      <c r="E42" s="957"/>
      <c r="F42" s="957"/>
      <c r="G42" s="957"/>
      <c r="H42" s="957"/>
      <c r="I42" s="957"/>
      <c r="J42" s="957"/>
      <c r="K42" s="4"/>
    </row>
    <row r="43" spans="1:11" ht="15.75">
      <c r="A43" s="109"/>
      <c r="B43" s="56"/>
      <c r="C43" s="56"/>
      <c r="D43" s="27"/>
      <c r="E43" s="956" t="str">
        <f>IF(L39+S39=E39," ","HIBA-nincs egyenlőség")</f>
        <v> </v>
      </c>
      <c r="F43" s="956" t="str">
        <f>IF(M39+T39=F39," ","HIBA-nincs egyenlőség")</f>
        <v>HIBA-nincs egyenlőség</v>
      </c>
      <c r="G43" s="956"/>
      <c r="H43" s="956"/>
      <c r="I43" s="956"/>
      <c r="J43" s="956"/>
      <c r="K43" s="956"/>
    </row>
    <row r="44" spans="1:20" ht="15.75">
      <c r="A44" s="109"/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109"/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109"/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109"/>
      <c r="B47" s="1"/>
      <c r="C47" s="1"/>
      <c r="D47" s="1"/>
      <c r="G47" s="67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109"/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09"/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109"/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  <row r="51" spans="1:11" ht="15.75">
      <c r="A51" s="109"/>
      <c r="B51" s="56"/>
      <c r="C51" s="56"/>
      <c r="D51" s="27"/>
      <c r="E51" s="3"/>
      <c r="F51" s="3"/>
      <c r="G51" s="3"/>
      <c r="H51" s="3"/>
      <c r="I51" s="3"/>
      <c r="J51" s="3"/>
      <c r="K51" s="3"/>
    </row>
    <row r="52" spans="1:11" ht="15.75">
      <c r="A52" s="109"/>
      <c r="B52" s="56"/>
      <c r="C52" s="56"/>
      <c r="D52" s="27"/>
      <c r="E52" s="3"/>
      <c r="F52" s="3"/>
      <c r="G52" s="3"/>
      <c r="H52" s="3"/>
      <c r="I52" s="3"/>
      <c r="J52" s="3"/>
      <c r="K52" s="3"/>
    </row>
    <row r="53" spans="1:11" ht="15.75">
      <c r="A53" s="109"/>
      <c r="B53" s="56"/>
      <c r="C53" s="56"/>
      <c r="D53" s="27"/>
      <c r="E53" s="3"/>
      <c r="F53" s="3"/>
      <c r="G53" s="3"/>
      <c r="H53" s="3"/>
      <c r="I53" s="3"/>
      <c r="J53" s="3"/>
      <c r="K53" s="3"/>
    </row>
    <row r="54" spans="1:11" ht="15.75">
      <c r="A54" s="109"/>
      <c r="B54" s="56"/>
      <c r="C54" s="56"/>
      <c r="D54" s="27"/>
      <c r="E54" s="3"/>
      <c r="F54" s="3"/>
      <c r="G54" s="3"/>
      <c r="H54" s="3"/>
      <c r="I54" s="3"/>
      <c r="J54" s="3"/>
      <c r="K54" s="3"/>
    </row>
    <row r="55" spans="1:11" ht="15.75">
      <c r="A55" s="109"/>
      <c r="B55" s="56"/>
      <c r="C55" s="56"/>
      <c r="D55" s="27"/>
      <c r="E55" s="3"/>
      <c r="F55" s="3"/>
      <c r="G55" s="3"/>
      <c r="H55" s="3"/>
      <c r="I55" s="3"/>
      <c r="J55" s="3"/>
      <c r="K55" s="3"/>
    </row>
    <row r="56" spans="1:11" ht="15.75">
      <c r="A56" s="109"/>
      <c r="B56" s="56"/>
      <c r="C56" s="56"/>
      <c r="D56" s="27"/>
      <c r="E56" s="3"/>
      <c r="F56" s="3"/>
      <c r="G56" s="3"/>
      <c r="H56" s="3"/>
      <c r="I56" s="3"/>
      <c r="J56" s="3"/>
      <c r="K56" s="3"/>
    </row>
    <row r="57" spans="1:11" ht="15.75">
      <c r="A57" s="109"/>
      <c r="B57" s="56"/>
      <c r="C57" s="56"/>
      <c r="D57" s="27"/>
      <c r="E57" s="3"/>
      <c r="F57" s="3"/>
      <c r="G57" s="3"/>
      <c r="H57" s="3"/>
      <c r="I57" s="3"/>
      <c r="J57" s="3"/>
      <c r="K57" s="3"/>
    </row>
    <row r="58" spans="1:11" ht="15.75">
      <c r="A58" s="109"/>
      <c r="B58" s="56"/>
      <c r="C58" s="56"/>
      <c r="D58" s="27"/>
      <c r="E58" s="3"/>
      <c r="F58" s="3"/>
      <c r="G58" s="3"/>
      <c r="H58" s="3"/>
      <c r="I58" s="3"/>
      <c r="J58" s="3"/>
      <c r="K58" s="3"/>
    </row>
    <row r="59" spans="1:11" ht="15.75">
      <c r="A59" s="109"/>
      <c r="B59" s="56"/>
      <c r="C59" s="56"/>
      <c r="D59" s="27"/>
      <c r="E59" s="3"/>
      <c r="F59" s="3"/>
      <c r="G59" s="3"/>
      <c r="H59" s="3"/>
      <c r="I59" s="3"/>
      <c r="J59" s="3"/>
      <c r="K59" s="3"/>
    </row>
    <row r="60" spans="1:11" ht="15.75">
      <c r="A60" s="109"/>
      <c r="B60" s="56"/>
      <c r="C60" s="56"/>
      <c r="D60" s="27"/>
      <c r="E60" s="3"/>
      <c r="F60" s="3"/>
      <c r="G60" s="3"/>
      <c r="H60" s="3"/>
      <c r="I60" s="3"/>
      <c r="J60" s="3"/>
      <c r="K60" s="3"/>
    </row>
  </sheetData>
  <sheetProtection/>
  <mergeCells count="20">
    <mergeCell ref="E1:W1"/>
    <mergeCell ref="A2:S2"/>
    <mergeCell ref="B37:D37"/>
    <mergeCell ref="C27:D27"/>
    <mergeCell ref="B30:D30"/>
    <mergeCell ref="B31:D31"/>
    <mergeCell ref="B32:D32"/>
    <mergeCell ref="C33:D33"/>
    <mergeCell ref="C34:D34"/>
    <mergeCell ref="C18:D18"/>
    <mergeCell ref="A38:D38"/>
    <mergeCell ref="A39:D39"/>
    <mergeCell ref="S4:Y4"/>
    <mergeCell ref="C26:D26"/>
    <mergeCell ref="B25:D25"/>
    <mergeCell ref="C19:D19"/>
    <mergeCell ref="C20:D20"/>
    <mergeCell ref="B17:D17"/>
    <mergeCell ref="B6:D6"/>
    <mergeCell ref="A4:D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3"/>
  <sheetViews>
    <sheetView zoomScale="110" zoomScaleNormal="110" zoomScalePageLayoutView="0" workbookViewId="0" topLeftCell="C1">
      <selection activeCell="C2" sqref="C2"/>
    </sheetView>
  </sheetViews>
  <sheetFormatPr defaultColWidth="9.140625" defaultRowHeight="12.75"/>
  <cols>
    <col min="1" max="1" width="4.28125" style="211" customWidth="1"/>
    <col min="2" max="2" width="4.7109375" style="144" customWidth="1"/>
    <col min="3" max="3" width="45.421875" style="144" customWidth="1"/>
    <col min="4" max="4" width="11.140625" style="144" customWidth="1"/>
    <col min="5" max="5" width="10.57421875" style="144" hidden="1" customWidth="1"/>
    <col min="6" max="6" width="10.421875" style="144" hidden="1" customWidth="1"/>
    <col min="7" max="7" width="11.7109375" style="144" hidden="1" customWidth="1"/>
    <col min="8" max="8" width="12.421875" style="144" hidden="1" customWidth="1"/>
    <col min="9" max="9" width="10.140625" style="144" customWidth="1"/>
    <col min="10" max="10" width="9.8515625" style="144" hidden="1" customWidth="1"/>
    <col min="11" max="11" width="8.28125" style="144" hidden="1" customWidth="1"/>
    <col min="12" max="12" width="12.8515625" style="144" customWidth="1"/>
    <col min="13" max="13" width="11.00390625" style="144" hidden="1" customWidth="1"/>
    <col min="14" max="14" width="10.00390625" style="144" hidden="1" customWidth="1"/>
    <col min="15" max="15" width="10.140625" style="144" hidden="1" customWidth="1"/>
    <col min="16" max="16" width="10.28125" style="144" hidden="1" customWidth="1"/>
    <col min="17" max="17" width="10.28125" style="144" customWidth="1"/>
    <col min="18" max="18" width="9.8515625" style="144" hidden="1" customWidth="1"/>
    <col min="19" max="19" width="13.140625" style="144" customWidth="1"/>
    <col min="20" max="20" width="9.140625" style="144" hidden="1" customWidth="1"/>
    <col min="21" max="21" width="9.421875" style="144" hidden="1" customWidth="1"/>
    <col min="22" max="22" width="10.00390625" style="144" hidden="1" customWidth="1"/>
    <col min="23" max="23" width="10.8515625" style="144" hidden="1" customWidth="1"/>
    <col min="24" max="24" width="10.00390625" style="144" customWidth="1"/>
    <col min="25" max="27" width="9.140625" style="144" hidden="1" customWidth="1"/>
    <col min="28" max="28" width="11.421875" style="144" bestFit="1" customWidth="1"/>
    <col min="29" max="16384" width="9.140625" style="144" customWidth="1"/>
  </cols>
  <sheetData>
    <row r="1" spans="1:23" s="136" customFormat="1" ht="21" customHeight="1">
      <c r="A1" s="132"/>
      <c r="B1" s="133"/>
      <c r="C1" s="1191" t="s">
        <v>636</v>
      </c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1191"/>
      <c r="Q1" s="1191"/>
      <c r="R1" s="1191"/>
      <c r="S1" s="1191"/>
      <c r="T1" s="1191"/>
      <c r="U1" s="1191"/>
      <c r="V1" s="1191"/>
      <c r="W1" s="1191"/>
    </row>
    <row r="2" spans="1:11" s="136" customFormat="1" ht="21" customHeight="1">
      <c r="A2" s="247"/>
      <c r="B2" s="133"/>
      <c r="C2" s="138"/>
      <c r="D2" s="137"/>
      <c r="E2" s="137"/>
      <c r="F2" s="137"/>
      <c r="G2" s="137"/>
      <c r="H2" s="137"/>
      <c r="I2" s="137"/>
      <c r="J2" s="137"/>
      <c r="K2" s="137"/>
    </row>
    <row r="3" spans="1:19" s="139" customFormat="1" ht="25.5" customHeight="1">
      <c r="A3" s="1194" t="s">
        <v>220</v>
      </c>
      <c r="B3" s="1194"/>
      <c r="C3" s="1194"/>
      <c r="D3" s="1194"/>
      <c r="E3" s="1194"/>
      <c r="F3" s="1194"/>
      <c r="G3" s="1194"/>
      <c r="H3" s="1194"/>
      <c r="I3" s="1194"/>
      <c r="J3" s="1194"/>
      <c r="K3" s="1194"/>
      <c r="L3" s="1194"/>
      <c r="M3" s="1194"/>
      <c r="N3" s="1194"/>
      <c r="O3" s="1194"/>
      <c r="P3" s="1194"/>
      <c r="Q3" s="1194"/>
      <c r="R3" s="1194"/>
      <c r="S3" s="1194"/>
    </row>
    <row r="4" spans="1:19" s="142" customFormat="1" ht="15.75" customHeight="1" thickBot="1">
      <c r="A4" s="140"/>
      <c r="B4" s="140"/>
      <c r="C4" s="140"/>
      <c r="S4" s="141" t="s">
        <v>459</v>
      </c>
    </row>
    <row r="5" spans="1:26" ht="36.75" customHeight="1" thickBot="1">
      <c r="A5" s="1192" t="s">
        <v>107</v>
      </c>
      <c r="B5" s="1193"/>
      <c r="C5" s="143" t="s">
        <v>108</v>
      </c>
      <c r="D5" s="1196" t="s">
        <v>5</v>
      </c>
      <c r="E5" s="1197"/>
      <c r="F5" s="1197"/>
      <c r="G5" s="1197"/>
      <c r="H5" s="1197"/>
      <c r="I5" s="1197"/>
      <c r="J5" s="1197"/>
      <c r="K5" s="1197"/>
      <c r="L5" s="1198" t="s">
        <v>105</v>
      </c>
      <c r="M5" s="1199"/>
      <c r="N5" s="1199"/>
      <c r="O5" s="1199"/>
      <c r="P5" s="1199"/>
      <c r="Q5" s="1196"/>
      <c r="R5" s="1196"/>
      <c r="S5" s="1198" t="s">
        <v>153</v>
      </c>
      <c r="T5" s="1199"/>
      <c r="U5" s="1199"/>
      <c r="V5" s="1199"/>
      <c r="W5" s="1199"/>
      <c r="X5" s="1199"/>
      <c r="Y5" s="1199"/>
      <c r="Z5" s="1200"/>
    </row>
    <row r="6" spans="1:27" ht="13.5" thickBot="1">
      <c r="A6" s="304"/>
      <c r="B6" s="305"/>
      <c r="C6" s="143"/>
      <c r="D6" s="143" t="s">
        <v>231</v>
      </c>
      <c r="E6" s="143" t="s">
        <v>229</v>
      </c>
      <c r="F6" s="143" t="s">
        <v>232</v>
      </c>
      <c r="G6" s="143" t="s">
        <v>234</v>
      </c>
      <c r="H6" s="143" t="s">
        <v>248</v>
      </c>
      <c r="I6" s="143" t="s">
        <v>253</v>
      </c>
      <c r="J6" s="143" t="s">
        <v>354</v>
      </c>
      <c r="K6" s="447" t="s">
        <v>253</v>
      </c>
      <c r="L6" s="476" t="s">
        <v>231</v>
      </c>
      <c r="M6" s="143" t="s">
        <v>229</v>
      </c>
      <c r="N6" s="143" t="s">
        <v>232</v>
      </c>
      <c r="O6" s="143" t="s">
        <v>234</v>
      </c>
      <c r="P6" s="143" t="s">
        <v>248</v>
      </c>
      <c r="Q6" s="143" t="s">
        <v>253</v>
      </c>
      <c r="R6" s="143" t="s">
        <v>354</v>
      </c>
      <c r="S6" s="476" t="s">
        <v>231</v>
      </c>
      <c r="T6" s="143" t="s">
        <v>229</v>
      </c>
      <c r="U6" s="143" t="s">
        <v>232</v>
      </c>
      <c r="V6" s="143" t="s">
        <v>234</v>
      </c>
      <c r="W6" s="143" t="s">
        <v>248</v>
      </c>
      <c r="X6" s="143" t="s">
        <v>253</v>
      </c>
      <c r="Y6" s="143" t="s">
        <v>354</v>
      </c>
      <c r="Z6" s="447" t="s">
        <v>238</v>
      </c>
      <c r="AA6" s="143" t="s">
        <v>253</v>
      </c>
    </row>
    <row r="7" spans="1:27" s="148" customFormat="1" ht="12.75" customHeight="1" thickBot="1">
      <c r="A7" s="145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G7" s="146">
        <v>7</v>
      </c>
      <c r="H7" s="146">
        <v>8</v>
      </c>
      <c r="I7" s="146">
        <v>5</v>
      </c>
      <c r="J7" s="146">
        <v>9</v>
      </c>
      <c r="K7" s="147"/>
      <c r="L7" s="145">
        <v>6</v>
      </c>
      <c r="M7" s="146">
        <v>10</v>
      </c>
      <c r="N7" s="146">
        <v>11</v>
      </c>
      <c r="O7" s="146">
        <v>12</v>
      </c>
      <c r="P7" s="146">
        <v>13</v>
      </c>
      <c r="Q7" s="297">
        <v>7</v>
      </c>
      <c r="R7" s="297">
        <v>15</v>
      </c>
      <c r="S7" s="145">
        <v>8</v>
      </c>
      <c r="T7" s="146">
        <v>15</v>
      </c>
      <c r="U7" s="146">
        <v>16</v>
      </c>
      <c r="V7" s="146">
        <v>17</v>
      </c>
      <c r="W7" s="146">
        <v>18</v>
      </c>
      <c r="X7" s="146">
        <v>9</v>
      </c>
      <c r="Y7" s="146">
        <v>21</v>
      </c>
      <c r="Z7" s="147"/>
      <c r="AA7" s="146"/>
    </row>
    <row r="8" spans="1:27" s="148" customFormat="1" ht="15.75" customHeight="1" thickBot="1">
      <c r="A8" s="149"/>
      <c r="B8" s="150"/>
      <c r="C8" s="150" t="s">
        <v>109</v>
      </c>
      <c r="D8" s="277"/>
      <c r="E8" s="277"/>
      <c r="F8" s="213"/>
      <c r="G8" s="213"/>
      <c r="H8" s="213"/>
      <c r="I8" s="213"/>
      <c r="J8" s="213"/>
      <c r="K8" s="278"/>
      <c r="L8" s="453"/>
      <c r="M8" s="277"/>
      <c r="N8" s="213"/>
      <c r="O8" s="213"/>
      <c r="P8" s="213"/>
      <c r="Q8" s="298"/>
      <c r="R8" s="298"/>
      <c r="S8" s="453"/>
      <c r="T8" s="453"/>
      <c r="U8" s="213"/>
      <c r="V8" s="213"/>
      <c r="W8" s="213"/>
      <c r="X8" s="213"/>
      <c r="Y8" s="213"/>
      <c r="Z8" s="278"/>
      <c r="AA8" s="213"/>
    </row>
    <row r="9" spans="1:27" s="154" customFormat="1" ht="12" customHeight="1" thickBot="1">
      <c r="A9" s="145" t="s">
        <v>27</v>
      </c>
      <c r="B9" s="151"/>
      <c r="C9" s="152" t="s">
        <v>340</v>
      </c>
      <c r="D9" s="214"/>
      <c r="E9" s="214">
        <f aca="true" t="shared" si="0" ref="E9:P9">SUM(E10:E13)</f>
        <v>65640</v>
      </c>
      <c r="F9" s="214">
        <f t="shared" si="0"/>
        <v>78540</v>
      </c>
      <c r="G9" s="214">
        <f t="shared" si="0"/>
        <v>78540</v>
      </c>
      <c r="H9" s="214">
        <f t="shared" si="0"/>
        <v>151672</v>
      </c>
      <c r="I9" s="214">
        <f t="shared" si="0"/>
        <v>140172</v>
      </c>
      <c r="J9" s="214">
        <f t="shared" si="0"/>
        <v>0</v>
      </c>
      <c r="K9" s="214">
        <f t="shared" si="0"/>
        <v>0</v>
      </c>
      <c r="L9" s="214">
        <f t="shared" si="0"/>
        <v>0</v>
      </c>
      <c r="M9" s="214">
        <f t="shared" si="0"/>
        <v>65640</v>
      </c>
      <c r="N9" s="214">
        <f t="shared" si="0"/>
        <v>78540</v>
      </c>
      <c r="O9" s="214">
        <f t="shared" si="0"/>
        <v>78540</v>
      </c>
      <c r="P9" s="214">
        <f t="shared" si="0"/>
        <v>151672</v>
      </c>
      <c r="Q9" s="214">
        <f>SUM(Q10:Q13)</f>
        <v>140172</v>
      </c>
      <c r="R9" s="384"/>
      <c r="S9" s="454"/>
      <c r="T9" s="454"/>
      <c r="U9" s="214"/>
      <c r="V9" s="214"/>
      <c r="W9" s="214"/>
      <c r="X9" s="214"/>
      <c r="Y9" s="214"/>
      <c r="Z9" s="153"/>
      <c r="AA9" s="214"/>
    </row>
    <row r="10" spans="1:27" s="154" customFormat="1" ht="12" customHeight="1">
      <c r="A10" s="155"/>
      <c r="B10" s="166" t="s">
        <v>36</v>
      </c>
      <c r="C10" s="880" t="s">
        <v>487</v>
      </c>
      <c r="D10" s="881"/>
      <c r="E10" s="881"/>
      <c r="F10" s="881"/>
      <c r="G10" s="881"/>
      <c r="H10" s="882">
        <v>4000</v>
      </c>
      <c r="I10" s="882">
        <v>4000</v>
      </c>
      <c r="J10" s="883"/>
      <c r="K10" s="884"/>
      <c r="L10" s="885"/>
      <c r="M10" s="881"/>
      <c r="N10" s="881"/>
      <c r="O10" s="881"/>
      <c r="P10" s="882">
        <v>4000</v>
      </c>
      <c r="Q10" s="882">
        <v>4000</v>
      </c>
      <c r="R10" s="883"/>
      <c r="S10" s="885"/>
      <c r="T10" s="885"/>
      <c r="U10" s="881"/>
      <c r="V10" s="881"/>
      <c r="W10" s="881"/>
      <c r="X10" s="881"/>
      <c r="Y10" s="877"/>
      <c r="Z10" s="878"/>
      <c r="AA10" s="877"/>
    </row>
    <row r="11" spans="1:27" s="154" customFormat="1" ht="12" customHeight="1">
      <c r="A11" s="937"/>
      <c r="B11" s="156" t="s">
        <v>37</v>
      </c>
      <c r="C11" s="938" t="s">
        <v>508</v>
      </c>
      <c r="D11" s="939"/>
      <c r="E11" s="939"/>
      <c r="F11" s="940">
        <v>16800</v>
      </c>
      <c r="G11" s="940">
        <v>16800</v>
      </c>
      <c r="H11" s="940">
        <f>69132+16800</f>
        <v>85932</v>
      </c>
      <c r="I11" s="940">
        <v>104432</v>
      </c>
      <c r="J11" s="987"/>
      <c r="K11" s="988"/>
      <c r="L11" s="989"/>
      <c r="M11" s="940"/>
      <c r="N11" s="940">
        <v>16800</v>
      </c>
      <c r="O11" s="940">
        <v>16800</v>
      </c>
      <c r="P11" s="940">
        <f>69132+16800</f>
        <v>85932</v>
      </c>
      <c r="Q11" s="940">
        <v>104432</v>
      </c>
      <c r="R11" s="941"/>
      <c r="S11" s="942"/>
      <c r="T11" s="942"/>
      <c r="U11" s="939"/>
      <c r="V11" s="939"/>
      <c r="W11" s="939"/>
      <c r="X11" s="939"/>
      <c r="Y11" s="877"/>
      <c r="Z11" s="878"/>
      <c r="AA11" s="877"/>
    </row>
    <row r="12" spans="1:27" s="154" customFormat="1" ht="12" customHeight="1">
      <c r="A12" s="157"/>
      <c r="B12" s="156" t="s">
        <v>38</v>
      </c>
      <c r="C12" s="886" t="s">
        <v>314</v>
      </c>
      <c r="D12" s="887"/>
      <c r="E12" s="887"/>
      <c r="F12" s="888">
        <v>500</v>
      </c>
      <c r="G12" s="888">
        <v>500</v>
      </c>
      <c r="H12" s="888">
        <v>500</v>
      </c>
      <c r="I12" s="888">
        <v>500</v>
      </c>
      <c r="J12" s="499"/>
      <c r="K12" s="990"/>
      <c r="L12" s="911"/>
      <c r="M12" s="888"/>
      <c r="N12" s="888">
        <v>500</v>
      </c>
      <c r="O12" s="888">
        <v>500</v>
      </c>
      <c r="P12" s="888">
        <v>500</v>
      </c>
      <c r="Q12" s="888">
        <v>500</v>
      </c>
      <c r="R12" s="889"/>
      <c r="S12" s="891"/>
      <c r="T12" s="891"/>
      <c r="U12" s="887"/>
      <c r="V12" s="887"/>
      <c r="W12" s="887"/>
      <c r="X12" s="887"/>
      <c r="Y12" s="877"/>
      <c r="Z12" s="878"/>
      <c r="AA12" s="877"/>
    </row>
    <row r="13" spans="1:27" s="154" customFormat="1" ht="12" customHeight="1" thickBot="1">
      <c r="A13" s="892"/>
      <c r="B13" s="156" t="s">
        <v>49</v>
      </c>
      <c r="C13" s="893" t="s">
        <v>488</v>
      </c>
      <c r="D13" s="894"/>
      <c r="E13" s="895">
        <v>65640</v>
      </c>
      <c r="F13" s="895">
        <f>65640-4400</f>
        <v>61240</v>
      </c>
      <c r="G13" s="895">
        <f>65640-4400</f>
        <v>61240</v>
      </c>
      <c r="H13" s="895">
        <f>65640-4400</f>
        <v>61240</v>
      </c>
      <c r="I13" s="895">
        <v>31240</v>
      </c>
      <c r="J13" s="896"/>
      <c r="K13" s="897"/>
      <c r="L13" s="898"/>
      <c r="M13" s="894">
        <v>65640</v>
      </c>
      <c r="N13" s="895">
        <f>65640-4400</f>
        <v>61240</v>
      </c>
      <c r="O13" s="895">
        <f>65640-4400</f>
        <v>61240</v>
      </c>
      <c r="P13" s="895">
        <f>65640-4400</f>
        <v>61240</v>
      </c>
      <c r="Q13" s="895">
        <v>31240</v>
      </c>
      <c r="R13" s="896"/>
      <c r="S13" s="898"/>
      <c r="T13" s="898"/>
      <c r="U13" s="894"/>
      <c r="V13" s="894"/>
      <c r="W13" s="894"/>
      <c r="X13" s="894"/>
      <c r="Y13" s="877"/>
      <c r="Z13" s="878"/>
      <c r="AA13" s="877"/>
    </row>
    <row r="14" spans="1:27" s="160" customFormat="1" ht="12" customHeight="1" hidden="1" thickBot="1">
      <c r="A14" s="161" t="s">
        <v>28</v>
      </c>
      <c r="B14" s="156"/>
      <c r="C14" s="879" t="s">
        <v>115</v>
      </c>
      <c r="D14" s="224"/>
      <c r="E14" s="224"/>
      <c r="F14" s="224"/>
      <c r="G14" s="224"/>
      <c r="H14" s="224"/>
      <c r="I14" s="224"/>
      <c r="J14" s="722" t="e">
        <f>H14/F14</f>
        <v>#DIV/0!</v>
      </c>
      <c r="K14" s="279"/>
      <c r="L14" s="455"/>
      <c r="M14" s="224"/>
      <c r="N14" s="224"/>
      <c r="O14" s="224"/>
      <c r="P14" s="224"/>
      <c r="Q14" s="224"/>
      <c r="R14" s="722" t="e">
        <f>P14/N14</f>
        <v>#DIV/0!</v>
      </c>
      <c r="S14" s="455"/>
      <c r="T14" s="455"/>
      <c r="U14" s="224"/>
      <c r="V14" s="224"/>
      <c r="W14" s="224"/>
      <c r="X14" s="224"/>
      <c r="Y14" s="224"/>
      <c r="Z14" s="279"/>
      <c r="AA14" s="224"/>
    </row>
    <row r="15" spans="1:27" s="154" customFormat="1" ht="12" customHeight="1" thickBot="1">
      <c r="A15" s="145" t="s">
        <v>28</v>
      </c>
      <c r="B15" s="151"/>
      <c r="C15" s="152" t="s">
        <v>116</v>
      </c>
      <c r="D15" s="214">
        <f aca="true" t="shared" si="1" ref="D15:I15">SUM(D16:D19)</f>
        <v>0</v>
      </c>
      <c r="E15" s="214">
        <f t="shared" si="1"/>
        <v>0</v>
      </c>
      <c r="F15" s="214">
        <f>SUM(F16:F19)</f>
        <v>0</v>
      </c>
      <c r="G15" s="214">
        <f>SUM(G16:G19)</f>
        <v>0</v>
      </c>
      <c r="H15" s="214">
        <f>SUM(H16:H19)</f>
        <v>0</v>
      </c>
      <c r="I15" s="214">
        <f t="shared" si="1"/>
        <v>0</v>
      </c>
      <c r="J15" s="384"/>
      <c r="K15" s="153">
        <f aca="true" t="shared" si="2" ref="K15:Q15">SUM(K16:K19)</f>
        <v>0</v>
      </c>
      <c r="L15" s="214">
        <f t="shared" si="2"/>
        <v>0</v>
      </c>
      <c r="M15" s="214">
        <f t="shared" si="2"/>
        <v>0</v>
      </c>
      <c r="N15" s="214">
        <f t="shared" si="2"/>
        <v>0</v>
      </c>
      <c r="O15" s="214">
        <f t="shared" si="2"/>
        <v>0</v>
      </c>
      <c r="P15" s="214">
        <f t="shared" si="2"/>
        <v>0</v>
      </c>
      <c r="Q15" s="214">
        <f t="shared" si="2"/>
        <v>0</v>
      </c>
      <c r="R15" s="384"/>
      <c r="S15" s="454"/>
      <c r="T15" s="454"/>
      <c r="U15" s="214"/>
      <c r="V15" s="214"/>
      <c r="W15" s="214"/>
      <c r="X15" s="214"/>
      <c r="Y15" s="214"/>
      <c r="Z15" s="153"/>
      <c r="AA15" s="214"/>
    </row>
    <row r="16" spans="1:27" s="160" customFormat="1" ht="12" customHeight="1">
      <c r="A16" s="157"/>
      <c r="B16" s="156" t="s">
        <v>39</v>
      </c>
      <c r="C16" s="162" t="s">
        <v>72</v>
      </c>
      <c r="D16" s="215"/>
      <c r="E16" s="215"/>
      <c r="F16" s="215"/>
      <c r="G16" s="215"/>
      <c r="H16" s="215"/>
      <c r="I16" s="215"/>
      <c r="J16" s="723"/>
      <c r="K16" s="159"/>
      <c r="L16" s="215"/>
      <c r="M16" s="215"/>
      <c r="N16" s="215"/>
      <c r="O16" s="215"/>
      <c r="P16" s="215"/>
      <c r="Q16" s="215"/>
      <c r="R16" s="723"/>
      <c r="S16" s="456"/>
      <c r="T16" s="456"/>
      <c r="U16" s="215"/>
      <c r="V16" s="215"/>
      <c r="W16" s="215"/>
      <c r="X16" s="215"/>
      <c r="Y16" s="215"/>
      <c r="Z16" s="159"/>
      <c r="AA16" s="215"/>
    </row>
    <row r="17" spans="1:27" s="160" customFormat="1" ht="12" customHeight="1">
      <c r="A17" s="157"/>
      <c r="B17" s="156" t="s">
        <v>40</v>
      </c>
      <c r="C17" s="158" t="s">
        <v>119</v>
      </c>
      <c r="D17" s="215"/>
      <c r="E17" s="215"/>
      <c r="F17" s="215"/>
      <c r="G17" s="215"/>
      <c r="H17" s="215"/>
      <c r="I17" s="215"/>
      <c r="J17" s="723"/>
      <c r="K17" s="159"/>
      <c r="L17" s="215"/>
      <c r="M17" s="215"/>
      <c r="N17" s="215"/>
      <c r="O17" s="215"/>
      <c r="P17" s="215"/>
      <c r="Q17" s="215"/>
      <c r="R17" s="723"/>
      <c r="S17" s="456"/>
      <c r="T17" s="456"/>
      <c r="U17" s="215"/>
      <c r="V17" s="215"/>
      <c r="W17" s="215"/>
      <c r="X17" s="215"/>
      <c r="Y17" s="215"/>
      <c r="Z17" s="159"/>
      <c r="AA17" s="215"/>
    </row>
    <row r="18" spans="1:27" s="160" customFormat="1" ht="12" customHeight="1">
      <c r="A18" s="157"/>
      <c r="B18" s="156" t="s">
        <v>41</v>
      </c>
      <c r="C18" s="158" t="s">
        <v>73</v>
      </c>
      <c r="D18" s="215"/>
      <c r="E18" s="215"/>
      <c r="F18" s="215"/>
      <c r="G18" s="215"/>
      <c r="H18" s="215"/>
      <c r="I18" s="215"/>
      <c r="J18" s="723"/>
      <c r="K18" s="159"/>
      <c r="L18" s="215"/>
      <c r="M18" s="215"/>
      <c r="N18" s="215"/>
      <c r="O18" s="215"/>
      <c r="P18" s="215"/>
      <c r="Q18" s="215"/>
      <c r="R18" s="723"/>
      <c r="S18" s="456"/>
      <c r="T18" s="456"/>
      <c r="U18" s="215"/>
      <c r="V18" s="215"/>
      <c r="W18" s="215"/>
      <c r="X18" s="215"/>
      <c r="Y18" s="215"/>
      <c r="Z18" s="159"/>
      <c r="AA18" s="215"/>
    </row>
    <row r="19" spans="1:27" s="160" customFormat="1" ht="12" customHeight="1" thickBot="1">
      <c r="A19" s="157"/>
      <c r="B19" s="156" t="s">
        <v>275</v>
      </c>
      <c r="C19" s="158" t="s">
        <v>119</v>
      </c>
      <c r="D19" s="215"/>
      <c r="E19" s="215"/>
      <c r="F19" s="215"/>
      <c r="G19" s="215"/>
      <c r="H19" s="215"/>
      <c r="I19" s="215"/>
      <c r="J19" s="723"/>
      <c r="K19" s="159"/>
      <c r="L19" s="215"/>
      <c r="M19" s="215"/>
      <c r="N19" s="215"/>
      <c r="O19" s="215"/>
      <c r="P19" s="215"/>
      <c r="Q19" s="215"/>
      <c r="R19" s="723"/>
      <c r="S19" s="456"/>
      <c r="T19" s="456"/>
      <c r="U19" s="215"/>
      <c r="V19" s="215"/>
      <c r="W19" s="215"/>
      <c r="X19" s="215"/>
      <c r="Y19" s="215"/>
      <c r="Z19" s="159"/>
      <c r="AA19" s="215"/>
    </row>
    <row r="20" spans="1:27" s="160" customFormat="1" ht="12" customHeight="1" thickBot="1">
      <c r="A20" s="163" t="s">
        <v>10</v>
      </c>
      <c r="B20" s="164"/>
      <c r="C20" s="164" t="s">
        <v>122</v>
      </c>
      <c r="D20" s="214">
        <f>SUM(D21:D22)</f>
        <v>0</v>
      </c>
      <c r="E20" s="214">
        <f>SUM(E21:E22)</f>
        <v>0</v>
      </c>
      <c r="F20" s="214">
        <f>SUM(F21:F22)</f>
        <v>0</v>
      </c>
      <c r="G20" s="214">
        <f>SUM(G21:G22)</f>
        <v>0</v>
      </c>
      <c r="H20" s="214">
        <f>SUM(H21:H22)</f>
        <v>0</v>
      </c>
      <c r="I20" s="214"/>
      <c r="J20" s="384"/>
      <c r="K20" s="153"/>
      <c r="L20" s="214">
        <f>SUM(L21:L22)</f>
        <v>0</v>
      </c>
      <c r="M20" s="214">
        <f>SUM(M21:M22)</f>
        <v>0</v>
      </c>
      <c r="N20" s="214">
        <f>SUM(N21:N22)</f>
        <v>0</v>
      </c>
      <c r="O20" s="214">
        <f>SUM(O21:O22)</f>
        <v>0</v>
      </c>
      <c r="P20" s="214">
        <f>SUM(P21:P22)</f>
        <v>0</v>
      </c>
      <c r="Q20" s="214"/>
      <c r="R20" s="384"/>
      <c r="S20" s="454"/>
      <c r="T20" s="454"/>
      <c r="U20" s="214"/>
      <c r="V20" s="214"/>
      <c r="W20" s="214"/>
      <c r="X20" s="214"/>
      <c r="Y20" s="214"/>
      <c r="Z20" s="153"/>
      <c r="AA20" s="214"/>
    </row>
    <row r="21" spans="1:27" s="154" customFormat="1" ht="12" customHeight="1">
      <c r="A21" s="165"/>
      <c r="B21" s="166" t="s">
        <v>42</v>
      </c>
      <c r="C21" s="167" t="s">
        <v>124</v>
      </c>
      <c r="D21" s="216"/>
      <c r="E21" s="216"/>
      <c r="F21" s="216"/>
      <c r="G21" s="216"/>
      <c r="H21" s="216"/>
      <c r="I21" s="216"/>
      <c r="J21" s="724"/>
      <c r="K21" s="168"/>
      <c r="L21" s="216"/>
      <c r="M21" s="216"/>
      <c r="N21" s="216"/>
      <c r="O21" s="216"/>
      <c r="P21" s="216"/>
      <c r="Q21" s="216"/>
      <c r="R21" s="724"/>
      <c r="S21" s="457"/>
      <c r="T21" s="457"/>
      <c r="U21" s="216"/>
      <c r="V21" s="216"/>
      <c r="W21" s="216"/>
      <c r="X21" s="216"/>
      <c r="Y21" s="216"/>
      <c r="Z21" s="168"/>
      <c r="AA21" s="216"/>
    </row>
    <row r="22" spans="1:27" s="154" customFormat="1" ht="12" customHeight="1" thickBot="1">
      <c r="A22" s="169"/>
      <c r="B22" s="170" t="s">
        <v>43</v>
      </c>
      <c r="C22" s="171" t="s">
        <v>126</v>
      </c>
      <c r="D22" s="217"/>
      <c r="E22" s="217"/>
      <c r="F22" s="217"/>
      <c r="G22" s="217"/>
      <c r="H22" s="217"/>
      <c r="I22" s="217"/>
      <c r="J22" s="725"/>
      <c r="K22" s="172"/>
      <c r="L22" s="217"/>
      <c r="M22" s="217"/>
      <c r="N22" s="217"/>
      <c r="O22" s="217"/>
      <c r="P22" s="217"/>
      <c r="Q22" s="217"/>
      <c r="R22" s="725"/>
      <c r="S22" s="458"/>
      <c r="T22" s="458"/>
      <c r="U22" s="217"/>
      <c r="V22" s="217"/>
      <c r="W22" s="217"/>
      <c r="X22" s="217"/>
      <c r="Y22" s="217"/>
      <c r="Z22" s="172"/>
      <c r="AA22" s="217"/>
    </row>
    <row r="23" spans="1:27" s="154" customFormat="1" ht="12" customHeight="1" hidden="1" thickBot="1">
      <c r="A23" s="163" t="s">
        <v>11</v>
      </c>
      <c r="B23" s="151"/>
      <c r="D23" s="218"/>
      <c r="E23" s="218"/>
      <c r="F23" s="218"/>
      <c r="G23" s="218"/>
      <c r="H23" s="218"/>
      <c r="I23" s="218"/>
      <c r="J23" s="726" t="e">
        <f>H23/F23</f>
        <v>#DIV/0!</v>
      </c>
      <c r="K23" s="173"/>
      <c r="L23" s="218"/>
      <c r="M23" s="218"/>
      <c r="N23" s="218"/>
      <c r="O23" s="218"/>
      <c r="P23" s="218"/>
      <c r="Q23" s="218"/>
      <c r="R23" s="726" t="e">
        <f>P23/N23</f>
        <v>#DIV/0!</v>
      </c>
      <c r="S23" s="459"/>
      <c r="T23" s="459"/>
      <c r="U23" s="218"/>
      <c r="V23" s="218"/>
      <c r="W23" s="218"/>
      <c r="X23" s="218"/>
      <c r="Y23" s="218"/>
      <c r="Z23" s="173"/>
      <c r="AA23" s="218"/>
    </row>
    <row r="24" spans="1:27" s="154" customFormat="1" ht="12" customHeight="1" thickBot="1">
      <c r="A24" s="145" t="s">
        <v>11</v>
      </c>
      <c r="B24" s="174"/>
      <c r="C24" s="164" t="s">
        <v>128</v>
      </c>
      <c r="D24" s="273">
        <f aca="true" t="shared" si="3" ref="D24:R24">D9+D14+D15+D20+D23</f>
        <v>0</v>
      </c>
      <c r="E24" s="273">
        <f t="shared" si="3"/>
        <v>65640</v>
      </c>
      <c r="F24" s="273">
        <f>F9+F14+F15+F20+F23</f>
        <v>78540</v>
      </c>
      <c r="G24" s="273">
        <f>G9+G14+G15+G20+G23</f>
        <v>78540</v>
      </c>
      <c r="H24" s="273">
        <f>H9+H14+H15+H20+H23</f>
        <v>151672</v>
      </c>
      <c r="I24" s="273">
        <f t="shared" si="3"/>
        <v>140172</v>
      </c>
      <c r="J24" s="273" t="e">
        <f t="shared" si="3"/>
        <v>#DIV/0!</v>
      </c>
      <c r="K24" s="273">
        <f t="shared" si="3"/>
        <v>0</v>
      </c>
      <c r="L24" s="273">
        <f t="shared" si="3"/>
        <v>0</v>
      </c>
      <c r="M24" s="273">
        <f t="shared" si="3"/>
        <v>65640</v>
      </c>
      <c r="N24" s="273">
        <f>N9+N14+N15+N20+N23</f>
        <v>78540</v>
      </c>
      <c r="O24" s="273">
        <f>O9+O14+O15+O20+O23</f>
        <v>78540</v>
      </c>
      <c r="P24" s="273">
        <f>P9+P14+P15+P20+P23</f>
        <v>151672</v>
      </c>
      <c r="Q24" s="273">
        <f>Q9+Q14+Q15+Q20+Q23</f>
        <v>140172</v>
      </c>
      <c r="R24" s="273" t="e">
        <f t="shared" si="3"/>
        <v>#DIV/0!</v>
      </c>
      <c r="S24" s="454"/>
      <c r="T24" s="454"/>
      <c r="U24" s="214"/>
      <c r="V24" s="214"/>
      <c r="W24" s="214"/>
      <c r="X24" s="214"/>
      <c r="Y24" s="214"/>
      <c r="Z24" s="153"/>
      <c r="AA24" s="214"/>
    </row>
    <row r="25" spans="1:27" s="160" customFormat="1" ht="12" customHeight="1" thickBot="1">
      <c r="A25" s="175" t="s">
        <v>12</v>
      </c>
      <c r="B25" s="176"/>
      <c r="C25" s="177" t="s">
        <v>129</v>
      </c>
      <c r="D25" s="274">
        <f aca="true" t="shared" si="4" ref="D25:I25">SUM(D26:D28)</f>
        <v>93897582</v>
      </c>
      <c r="E25" s="274">
        <f t="shared" si="4"/>
        <v>93831942</v>
      </c>
      <c r="F25" s="274">
        <f t="shared" si="4"/>
        <v>93831942</v>
      </c>
      <c r="G25" s="274">
        <f t="shared" si="4"/>
        <v>93831942</v>
      </c>
      <c r="H25" s="274">
        <f t="shared" si="4"/>
        <v>93831942</v>
      </c>
      <c r="I25" s="274">
        <f t="shared" si="4"/>
        <v>87246993</v>
      </c>
      <c r="J25" s="384">
        <f>I25/H25</f>
        <v>0.9298218830427702</v>
      </c>
      <c r="K25" s="593">
        <f aca="true" t="shared" si="5" ref="K25:Q25">SUM(K26:K28)</f>
        <v>0</v>
      </c>
      <c r="L25" s="274">
        <f t="shared" si="5"/>
        <v>93897582</v>
      </c>
      <c r="M25" s="274">
        <f t="shared" si="5"/>
        <v>93831942</v>
      </c>
      <c r="N25" s="274">
        <f t="shared" si="5"/>
        <v>93831942</v>
      </c>
      <c r="O25" s="274">
        <f t="shared" si="5"/>
        <v>93831942</v>
      </c>
      <c r="P25" s="274">
        <f t="shared" si="5"/>
        <v>93831942</v>
      </c>
      <c r="Q25" s="274">
        <f t="shared" si="5"/>
        <v>87246993</v>
      </c>
      <c r="R25" s="384">
        <f>Q25/P25</f>
        <v>0.9298218830427702</v>
      </c>
      <c r="S25" s="274">
        <f aca="true" t="shared" si="6" ref="S25:X25">SUM(S26:S28)</f>
        <v>5610894</v>
      </c>
      <c r="T25" s="274">
        <f t="shared" si="6"/>
        <v>5610894</v>
      </c>
      <c r="U25" s="274">
        <f t="shared" si="6"/>
        <v>5610894</v>
      </c>
      <c r="V25" s="274">
        <f t="shared" si="6"/>
        <v>5610894</v>
      </c>
      <c r="W25" s="274">
        <f t="shared" si="6"/>
        <v>5610894</v>
      </c>
      <c r="X25" s="274">
        <f t="shared" si="6"/>
        <v>5610894</v>
      </c>
      <c r="Y25" s="214"/>
      <c r="Z25" s="153"/>
      <c r="AA25" s="214"/>
    </row>
    <row r="26" spans="1:27" s="160" customFormat="1" ht="15" customHeight="1" thickBot="1">
      <c r="A26" s="155"/>
      <c r="B26" s="178" t="s">
        <v>44</v>
      </c>
      <c r="C26" s="167" t="s">
        <v>131</v>
      </c>
      <c r="D26" s="216">
        <v>578764</v>
      </c>
      <c r="E26" s="216">
        <f>578764-65640</f>
        <v>513124</v>
      </c>
      <c r="F26" s="216">
        <f>578764-65640</f>
        <v>513124</v>
      </c>
      <c r="G26" s="216">
        <f>578764-65640</f>
        <v>513124</v>
      </c>
      <c r="H26" s="216">
        <f>578764-65640</f>
        <v>513124</v>
      </c>
      <c r="I26" s="216">
        <v>513124</v>
      </c>
      <c r="J26" s="755"/>
      <c r="K26" s="168"/>
      <c r="L26" s="216">
        <v>578764</v>
      </c>
      <c r="M26" s="216">
        <v>513124</v>
      </c>
      <c r="N26" s="216">
        <v>513124</v>
      </c>
      <c r="O26" s="216">
        <v>513124</v>
      </c>
      <c r="P26" s="216">
        <f>578764-65640</f>
        <v>513124</v>
      </c>
      <c r="Q26" s="216">
        <v>513124</v>
      </c>
      <c r="R26" s="755"/>
      <c r="S26" s="216"/>
      <c r="T26" s="216"/>
      <c r="U26" s="216"/>
      <c r="V26" s="216"/>
      <c r="W26" s="216"/>
      <c r="X26" s="216"/>
      <c r="Y26" s="464"/>
      <c r="Z26" s="275"/>
      <c r="AA26" s="464"/>
    </row>
    <row r="27" spans="1:27" s="160" customFormat="1" ht="15" customHeight="1">
      <c r="A27" s="594"/>
      <c r="B27" s="595" t="s">
        <v>45</v>
      </c>
      <c r="C27" s="488" t="s">
        <v>460</v>
      </c>
      <c r="D27" s="597">
        <v>93318818</v>
      </c>
      <c r="E27" s="597">
        <v>93318818</v>
      </c>
      <c r="F27" s="597">
        <v>93318818</v>
      </c>
      <c r="G27" s="597">
        <v>93318818</v>
      </c>
      <c r="H27" s="597">
        <v>93318818</v>
      </c>
      <c r="I27" s="597">
        <v>86733869</v>
      </c>
      <c r="J27" s="755"/>
      <c r="K27" s="601"/>
      <c r="L27" s="597">
        <v>93318818</v>
      </c>
      <c r="M27" s="597">
        <v>93318818</v>
      </c>
      <c r="N27" s="597">
        <v>93318818</v>
      </c>
      <c r="O27" s="597">
        <v>93318818</v>
      </c>
      <c r="P27" s="597">
        <v>93318818</v>
      </c>
      <c r="Q27" s="597">
        <v>86733869</v>
      </c>
      <c r="R27" s="755"/>
      <c r="S27" s="598">
        <v>5610894</v>
      </c>
      <c r="T27" s="598">
        <v>5610894</v>
      </c>
      <c r="U27" s="598">
        <v>5610894</v>
      </c>
      <c r="V27" s="598">
        <v>5610894</v>
      </c>
      <c r="W27" s="598">
        <v>5610894</v>
      </c>
      <c r="X27" s="598">
        <v>5610894</v>
      </c>
      <c r="Y27" s="599"/>
      <c r="Z27" s="600"/>
      <c r="AA27" s="599"/>
    </row>
    <row r="28" spans="1:27" s="160" customFormat="1" ht="15" customHeight="1" thickBot="1">
      <c r="A28" s="179"/>
      <c r="B28" s="180" t="s">
        <v>71</v>
      </c>
      <c r="C28" s="181" t="s">
        <v>133</v>
      </c>
      <c r="D28" s="220"/>
      <c r="E28" s="220"/>
      <c r="F28" s="220"/>
      <c r="G28" s="220"/>
      <c r="H28" s="220"/>
      <c r="I28" s="220"/>
      <c r="J28" s="727"/>
      <c r="K28" s="182"/>
      <c r="L28" s="220"/>
      <c r="M28" s="220"/>
      <c r="N28" s="220"/>
      <c r="O28" s="220"/>
      <c r="P28" s="220"/>
      <c r="Q28" s="220"/>
      <c r="R28" s="727"/>
      <c r="S28" s="461"/>
      <c r="T28" s="461"/>
      <c r="U28" s="461"/>
      <c r="V28" s="461"/>
      <c r="W28" s="461"/>
      <c r="X28" s="461"/>
      <c r="Y28" s="220"/>
      <c r="Z28" s="182"/>
      <c r="AA28" s="220"/>
    </row>
    <row r="29" spans="1:27" ht="13.5" hidden="1" thickBot="1">
      <c r="A29" s="183" t="s">
        <v>13</v>
      </c>
      <c r="B29" s="184"/>
      <c r="C29" s="185" t="s">
        <v>134</v>
      </c>
      <c r="D29" s="270"/>
      <c r="E29" s="270"/>
      <c r="F29" s="270"/>
      <c r="G29" s="270"/>
      <c r="H29" s="270"/>
      <c r="I29" s="270"/>
      <c r="J29" s="728" t="e">
        <f>H29/F29</f>
        <v>#DIV/0!</v>
      </c>
      <c r="K29" s="173"/>
      <c r="L29" s="270"/>
      <c r="M29" s="270"/>
      <c r="N29" s="270"/>
      <c r="O29" s="270"/>
      <c r="P29" s="270"/>
      <c r="Q29" s="270"/>
      <c r="R29" s="728" t="e">
        <f>P29/N29</f>
        <v>#DIV/0!</v>
      </c>
      <c r="S29" s="459"/>
      <c r="T29" s="459"/>
      <c r="U29" s="459"/>
      <c r="V29" s="459"/>
      <c r="W29" s="459"/>
      <c r="X29" s="459"/>
      <c r="Y29" s="218"/>
      <c r="Z29" s="173"/>
      <c r="AA29" s="218"/>
    </row>
    <row r="30" spans="1:27" s="148" customFormat="1" ht="16.5" customHeight="1" thickBot="1">
      <c r="A30" s="183" t="s">
        <v>13</v>
      </c>
      <c r="B30" s="186"/>
      <c r="C30" s="187" t="s">
        <v>278</v>
      </c>
      <c r="D30" s="276">
        <f aca="true" t="shared" si="7" ref="D30:I30">D24+D29+D25</f>
        <v>93897582</v>
      </c>
      <c r="E30" s="276">
        <f t="shared" si="7"/>
        <v>93897582</v>
      </c>
      <c r="F30" s="276">
        <f t="shared" si="7"/>
        <v>93910482</v>
      </c>
      <c r="G30" s="276">
        <f t="shared" si="7"/>
        <v>93910482</v>
      </c>
      <c r="H30" s="276">
        <f t="shared" si="7"/>
        <v>93983614</v>
      </c>
      <c r="I30" s="276">
        <f t="shared" si="7"/>
        <v>87387165</v>
      </c>
      <c r="J30" s="384">
        <f>I30/H30</f>
        <v>0.9298127756610849</v>
      </c>
      <c r="K30" s="206">
        <f aca="true" t="shared" si="8" ref="K30:Q30">K24+K29+K25</f>
        <v>0</v>
      </c>
      <c r="L30" s="276">
        <f t="shared" si="8"/>
        <v>93897582</v>
      </c>
      <c r="M30" s="276">
        <f t="shared" si="8"/>
        <v>93897582</v>
      </c>
      <c r="N30" s="276">
        <f t="shared" si="8"/>
        <v>93910482</v>
      </c>
      <c r="O30" s="276">
        <f t="shared" si="8"/>
        <v>93910482</v>
      </c>
      <c r="P30" s="276">
        <f t="shared" si="8"/>
        <v>93983614</v>
      </c>
      <c r="Q30" s="276">
        <f t="shared" si="8"/>
        <v>87387165</v>
      </c>
      <c r="R30" s="384">
        <f>Q30/P30</f>
        <v>0.9298127756610849</v>
      </c>
      <c r="S30" s="276">
        <f aca="true" t="shared" si="9" ref="S30:X30">S24+S29+S25</f>
        <v>5610894</v>
      </c>
      <c r="T30" s="276">
        <f t="shared" si="9"/>
        <v>5610894</v>
      </c>
      <c r="U30" s="276">
        <f t="shared" si="9"/>
        <v>5610894</v>
      </c>
      <c r="V30" s="276">
        <f t="shared" si="9"/>
        <v>5610894</v>
      </c>
      <c r="W30" s="276">
        <f t="shared" si="9"/>
        <v>5610894</v>
      </c>
      <c r="X30" s="276">
        <f t="shared" si="9"/>
        <v>5610894</v>
      </c>
      <c r="Y30" s="221"/>
      <c r="Z30" s="206"/>
      <c r="AA30" s="221"/>
    </row>
    <row r="31" spans="1:20" s="192" customFormat="1" ht="12" customHeight="1">
      <c r="A31" s="189"/>
      <c r="B31" s="189"/>
      <c r="C31" s="190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</row>
    <row r="32" spans="1:20" ht="12" customHeight="1" thickBot="1">
      <c r="A32" s="193"/>
      <c r="B32" s="194"/>
      <c r="C32" s="194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</row>
    <row r="33" spans="1:26" ht="12" customHeight="1" thickBot="1">
      <c r="A33" s="196"/>
      <c r="B33" s="197"/>
      <c r="C33" s="198" t="s">
        <v>136</v>
      </c>
      <c r="D33" s="212"/>
      <c r="E33" s="212"/>
      <c r="F33" s="212"/>
      <c r="G33" s="212"/>
      <c r="H33" s="212"/>
      <c r="I33" s="212"/>
      <c r="J33" s="212"/>
      <c r="K33" s="212"/>
      <c r="L33" s="221"/>
      <c r="M33" s="212"/>
      <c r="N33" s="212"/>
      <c r="O33" s="212"/>
      <c r="P33" s="212"/>
      <c r="Q33" s="212"/>
      <c r="R33" s="212"/>
      <c r="S33" s="462"/>
      <c r="T33" s="462"/>
      <c r="U33" s="221"/>
      <c r="V33" s="221"/>
      <c r="W33" s="221"/>
      <c r="X33" s="850"/>
      <c r="Y33" s="206"/>
      <c r="Z33" s="188"/>
    </row>
    <row r="34" spans="1:27" ht="12" customHeight="1" thickBot="1">
      <c r="A34" s="163" t="s">
        <v>27</v>
      </c>
      <c r="B34" s="199"/>
      <c r="C34" s="465" t="s">
        <v>137</v>
      </c>
      <c r="D34" s="454">
        <f aca="true" t="shared" si="10" ref="D34:I34">SUM(D35:D39)</f>
        <v>93008582</v>
      </c>
      <c r="E34" s="454">
        <f t="shared" si="10"/>
        <v>93008582</v>
      </c>
      <c r="F34" s="454">
        <f t="shared" si="10"/>
        <v>93021482</v>
      </c>
      <c r="G34" s="454">
        <f t="shared" si="10"/>
        <v>93021482</v>
      </c>
      <c r="H34" s="454">
        <f t="shared" si="10"/>
        <v>93094614</v>
      </c>
      <c r="I34" s="454">
        <f t="shared" si="10"/>
        <v>87160958</v>
      </c>
      <c r="J34" s="384">
        <f>I34/H34</f>
        <v>0.9362620913815701</v>
      </c>
      <c r="K34" s="448">
        <f aca="true" t="shared" si="11" ref="K34:Q34">SUM(K35:K39)</f>
        <v>0</v>
      </c>
      <c r="L34" s="454">
        <f t="shared" si="11"/>
        <v>93008582</v>
      </c>
      <c r="M34" s="454">
        <f t="shared" si="11"/>
        <v>93008582</v>
      </c>
      <c r="N34" s="454">
        <f t="shared" si="11"/>
        <v>93021482</v>
      </c>
      <c r="O34" s="454">
        <f t="shared" si="11"/>
        <v>93021482</v>
      </c>
      <c r="P34" s="454">
        <f t="shared" si="11"/>
        <v>93094614</v>
      </c>
      <c r="Q34" s="454">
        <f t="shared" si="11"/>
        <v>87160958</v>
      </c>
      <c r="R34" s="384">
        <f>Q34/P34</f>
        <v>0.9362620913815701</v>
      </c>
      <c r="S34" s="454">
        <f aca="true" t="shared" si="12" ref="S34:X34">SUM(S35:S39)</f>
        <v>5610894</v>
      </c>
      <c r="T34" s="454">
        <f t="shared" si="12"/>
        <v>5610894</v>
      </c>
      <c r="U34" s="454">
        <f t="shared" si="12"/>
        <v>5610894</v>
      </c>
      <c r="V34" s="454">
        <f t="shared" si="12"/>
        <v>5610894</v>
      </c>
      <c r="W34" s="454">
        <f t="shared" si="12"/>
        <v>5610894</v>
      </c>
      <c r="X34" s="454">
        <f t="shared" si="12"/>
        <v>5610894</v>
      </c>
      <c r="Y34" s="384">
        <f>X34/W34</f>
        <v>1</v>
      </c>
      <c r="Z34" s="477"/>
      <c r="AA34" s="153">
        <f>SUM(AA35:AA39)</f>
        <v>0</v>
      </c>
    </row>
    <row r="35" spans="1:27" ht="12" customHeight="1">
      <c r="A35" s="200"/>
      <c r="B35" s="201" t="s">
        <v>111</v>
      </c>
      <c r="C35" s="466" t="s">
        <v>138</v>
      </c>
      <c r="D35" s="472">
        <v>59771486</v>
      </c>
      <c r="E35" s="472">
        <v>59771486</v>
      </c>
      <c r="F35" s="472">
        <v>59771486</v>
      </c>
      <c r="G35" s="472">
        <v>59771486</v>
      </c>
      <c r="H35" s="472">
        <f>-142818+59771486</f>
        <v>59628668</v>
      </c>
      <c r="I35" s="472">
        <v>57770252</v>
      </c>
      <c r="J35" s="755"/>
      <c r="K35" s="753"/>
      <c r="L35" s="472">
        <v>59771486</v>
      </c>
      <c r="M35" s="472">
        <v>59771486</v>
      </c>
      <c r="N35" s="472">
        <v>59771486</v>
      </c>
      <c r="O35" s="472">
        <v>59771486</v>
      </c>
      <c r="P35" s="472">
        <f>-142818+59771486</f>
        <v>59628668</v>
      </c>
      <c r="Q35" s="472">
        <v>57770252</v>
      </c>
      <c r="R35" s="755"/>
      <c r="S35" s="456">
        <v>3626473</v>
      </c>
      <c r="T35" s="456">
        <v>3626473</v>
      </c>
      <c r="U35" s="456">
        <v>3626473</v>
      </c>
      <c r="V35" s="456">
        <v>3626473</v>
      </c>
      <c r="W35" s="456">
        <v>3626473</v>
      </c>
      <c r="X35" s="456">
        <v>3626473</v>
      </c>
      <c r="Y35" s="755">
        <f>X35/W35</f>
        <v>1</v>
      </c>
      <c r="Z35" s="478"/>
      <c r="AA35" s="159"/>
    </row>
    <row r="36" spans="1:27" ht="12" customHeight="1">
      <c r="A36" s="202"/>
      <c r="B36" s="203" t="s">
        <v>112</v>
      </c>
      <c r="C36" s="467" t="s">
        <v>51</v>
      </c>
      <c r="D36" s="473">
        <v>13708828</v>
      </c>
      <c r="E36" s="473">
        <v>13708828</v>
      </c>
      <c r="F36" s="473">
        <v>13708828</v>
      </c>
      <c r="G36" s="473">
        <v>13708828</v>
      </c>
      <c r="H36" s="473">
        <v>13708828</v>
      </c>
      <c r="I36" s="473">
        <v>13008828</v>
      </c>
      <c r="J36" s="755"/>
      <c r="K36" s="480"/>
      <c r="L36" s="473">
        <v>13708828</v>
      </c>
      <c r="M36" s="473">
        <v>13708828</v>
      </c>
      <c r="N36" s="473">
        <v>13708828</v>
      </c>
      <c r="O36" s="473">
        <v>13708828</v>
      </c>
      <c r="P36" s="473">
        <v>13708828</v>
      </c>
      <c r="Q36" s="473">
        <v>13008828</v>
      </c>
      <c r="R36" s="755"/>
      <c r="S36" s="456">
        <v>799596</v>
      </c>
      <c r="T36" s="456">
        <v>799596</v>
      </c>
      <c r="U36" s="456">
        <v>799596</v>
      </c>
      <c r="V36" s="456">
        <v>799596</v>
      </c>
      <c r="W36" s="456">
        <v>799596</v>
      </c>
      <c r="X36" s="456">
        <v>799596</v>
      </c>
      <c r="Y36" s="755">
        <f>X36/W36</f>
        <v>1</v>
      </c>
      <c r="Z36" s="478"/>
      <c r="AA36" s="159"/>
    </row>
    <row r="37" spans="1:27" ht="12" customHeight="1">
      <c r="A37" s="202"/>
      <c r="B37" s="203" t="s">
        <v>113</v>
      </c>
      <c r="C37" s="467" t="s">
        <v>139</v>
      </c>
      <c r="D37" s="473">
        <v>19528268</v>
      </c>
      <c r="E37" s="473">
        <v>19528268</v>
      </c>
      <c r="F37" s="473">
        <f>19528268+12900</f>
        <v>19541168</v>
      </c>
      <c r="G37" s="473">
        <f>19528268+12900</f>
        <v>19541168</v>
      </c>
      <c r="H37" s="473">
        <f>19528268+12900+215950</f>
        <v>19757118</v>
      </c>
      <c r="I37" s="473">
        <v>16381878</v>
      </c>
      <c r="J37" s="755"/>
      <c r="K37" s="480"/>
      <c r="L37" s="473">
        <v>19528268</v>
      </c>
      <c r="M37" s="473">
        <v>19528268</v>
      </c>
      <c r="N37" s="473">
        <f>19528268+12900</f>
        <v>19541168</v>
      </c>
      <c r="O37" s="473">
        <f>19528268+12900</f>
        <v>19541168</v>
      </c>
      <c r="P37" s="473">
        <f>19528268+12900+215950</f>
        <v>19757118</v>
      </c>
      <c r="Q37" s="473">
        <v>16381878</v>
      </c>
      <c r="R37" s="755"/>
      <c r="S37" s="456">
        <v>1184825</v>
      </c>
      <c r="T37" s="456">
        <v>1184825</v>
      </c>
      <c r="U37" s="456">
        <v>1184825</v>
      </c>
      <c r="V37" s="456">
        <v>1184825</v>
      </c>
      <c r="W37" s="456">
        <v>1184825</v>
      </c>
      <c r="X37" s="456">
        <v>1184825</v>
      </c>
      <c r="Y37" s="755">
        <f>X37/W37</f>
        <v>1</v>
      </c>
      <c r="Z37" s="478"/>
      <c r="AA37" s="159"/>
    </row>
    <row r="38" spans="1:27" s="192" customFormat="1" ht="12" customHeight="1">
      <c r="A38" s="202"/>
      <c r="B38" s="203" t="s">
        <v>114</v>
      </c>
      <c r="C38" s="467" t="s">
        <v>81</v>
      </c>
      <c r="D38" s="473"/>
      <c r="E38" s="473"/>
      <c r="F38" s="473"/>
      <c r="G38" s="473"/>
      <c r="H38" s="473"/>
      <c r="I38" s="473"/>
      <c r="J38" s="755"/>
      <c r="K38" s="480"/>
      <c r="L38" s="473"/>
      <c r="M38" s="473"/>
      <c r="N38" s="473"/>
      <c r="O38" s="473"/>
      <c r="P38" s="473"/>
      <c r="Q38" s="473"/>
      <c r="R38" s="755"/>
      <c r="S38" s="456"/>
      <c r="T38" s="456"/>
      <c r="U38" s="456"/>
      <c r="V38" s="456"/>
      <c r="W38" s="456"/>
      <c r="X38" s="456"/>
      <c r="Y38" s="159"/>
      <c r="Z38" s="479"/>
      <c r="AA38" s="159"/>
    </row>
    <row r="39" spans="1:27" ht="12" customHeight="1" thickBot="1">
      <c r="A39" s="202"/>
      <c r="B39" s="203" t="s">
        <v>50</v>
      </c>
      <c r="C39" s="467" t="s">
        <v>83</v>
      </c>
      <c r="D39" s="473"/>
      <c r="E39" s="473"/>
      <c r="F39" s="473"/>
      <c r="G39" s="473"/>
      <c r="H39" s="473"/>
      <c r="I39" s="473"/>
      <c r="J39" s="755"/>
      <c r="K39" s="480"/>
      <c r="L39" s="473"/>
      <c r="M39" s="473"/>
      <c r="N39" s="473"/>
      <c r="O39" s="473"/>
      <c r="P39" s="473"/>
      <c r="Q39" s="473"/>
      <c r="R39" s="755"/>
      <c r="S39" s="473"/>
      <c r="T39" s="473"/>
      <c r="U39" s="473"/>
      <c r="V39" s="473"/>
      <c r="W39" s="473"/>
      <c r="X39" s="473"/>
      <c r="Y39" s="204"/>
      <c r="Z39" s="480"/>
      <c r="AA39" s="204"/>
    </row>
    <row r="40" spans="1:27" ht="12" customHeight="1" thickBot="1">
      <c r="A40" s="163" t="s">
        <v>28</v>
      </c>
      <c r="B40" s="199"/>
      <c r="C40" s="465" t="s">
        <v>140</v>
      </c>
      <c r="D40" s="454">
        <f aca="true" t="shared" si="13" ref="D40:I40">SUM(D41:D44)</f>
        <v>889000</v>
      </c>
      <c r="E40" s="454">
        <f t="shared" si="13"/>
        <v>889000</v>
      </c>
      <c r="F40" s="454">
        <f t="shared" si="13"/>
        <v>889000</v>
      </c>
      <c r="G40" s="454">
        <f t="shared" si="13"/>
        <v>889000</v>
      </c>
      <c r="H40" s="454">
        <f t="shared" si="13"/>
        <v>889000</v>
      </c>
      <c r="I40" s="454">
        <f t="shared" si="13"/>
        <v>226207</v>
      </c>
      <c r="J40" s="384">
        <f>I40/H40</f>
        <v>0.25445106861642297</v>
      </c>
      <c r="K40" s="448">
        <f aca="true" t="shared" si="14" ref="K40:Q40">SUM(K41:K44)</f>
        <v>0</v>
      </c>
      <c r="L40" s="454">
        <f t="shared" si="14"/>
        <v>889000</v>
      </c>
      <c r="M40" s="454">
        <f t="shared" si="14"/>
        <v>889000</v>
      </c>
      <c r="N40" s="454">
        <f t="shared" si="14"/>
        <v>889000</v>
      </c>
      <c r="O40" s="454">
        <f t="shared" si="14"/>
        <v>889000</v>
      </c>
      <c r="P40" s="454">
        <f t="shared" si="14"/>
        <v>889000</v>
      </c>
      <c r="Q40" s="454">
        <f t="shared" si="14"/>
        <v>226207</v>
      </c>
      <c r="R40" s="384">
        <f>Q40/P40</f>
        <v>0.25445106861642297</v>
      </c>
      <c r="S40" s="454">
        <f aca="true" t="shared" si="15" ref="S40:Y40">SUM(S41:S44)</f>
        <v>0</v>
      </c>
      <c r="T40" s="454">
        <f t="shared" si="15"/>
        <v>0</v>
      </c>
      <c r="U40" s="454">
        <f t="shared" si="15"/>
        <v>0</v>
      </c>
      <c r="V40" s="454">
        <f t="shared" si="15"/>
        <v>0</v>
      </c>
      <c r="W40" s="454">
        <f t="shared" si="15"/>
        <v>0</v>
      </c>
      <c r="X40" s="454">
        <f t="shared" si="15"/>
        <v>0</v>
      </c>
      <c r="Y40" s="153">
        <f t="shared" si="15"/>
        <v>0</v>
      </c>
      <c r="Z40" s="448"/>
      <c r="AA40" s="153">
        <f>SUM(AA41:AA44)</f>
        <v>0</v>
      </c>
    </row>
    <row r="41" spans="1:27" ht="12" customHeight="1">
      <c r="A41" s="200"/>
      <c r="B41" s="201" t="s">
        <v>141</v>
      </c>
      <c r="C41" s="466" t="s">
        <v>93</v>
      </c>
      <c r="D41" s="472">
        <v>889000</v>
      </c>
      <c r="E41" s="472">
        <v>889000</v>
      </c>
      <c r="F41" s="472">
        <v>889000</v>
      </c>
      <c r="G41" s="472">
        <v>889000</v>
      </c>
      <c r="H41" s="472">
        <v>889000</v>
      </c>
      <c r="I41" s="472">
        <v>226207</v>
      </c>
      <c r="J41" s="755"/>
      <c r="K41" s="753"/>
      <c r="L41" s="472">
        <v>889000</v>
      </c>
      <c r="M41" s="472">
        <v>889000</v>
      </c>
      <c r="N41" s="472">
        <v>889000</v>
      </c>
      <c r="O41" s="472">
        <v>889000</v>
      </c>
      <c r="P41" s="472">
        <v>889000</v>
      </c>
      <c r="Q41" s="472">
        <v>226207</v>
      </c>
      <c r="R41" s="755">
        <f>Q41/P41</f>
        <v>0.25445106861642297</v>
      </c>
      <c r="S41" s="456"/>
      <c r="T41" s="456"/>
      <c r="U41" s="456"/>
      <c r="V41" s="456"/>
      <c r="W41" s="456"/>
      <c r="X41" s="456"/>
      <c r="Y41" s="159"/>
      <c r="Z41" s="479"/>
      <c r="AA41" s="159"/>
    </row>
    <row r="42" spans="1:27" ht="12" customHeight="1">
      <c r="A42" s="202"/>
      <c r="B42" s="203" t="s">
        <v>142</v>
      </c>
      <c r="C42" s="467" t="s">
        <v>94</v>
      </c>
      <c r="D42" s="473">
        <v>0</v>
      </c>
      <c r="E42" s="473">
        <v>0</v>
      </c>
      <c r="F42" s="473">
        <v>0</v>
      </c>
      <c r="G42" s="473">
        <v>0</v>
      </c>
      <c r="H42" s="473">
        <v>0</v>
      </c>
      <c r="I42" s="473"/>
      <c r="J42" s="223"/>
      <c r="K42" s="480">
        <v>0</v>
      </c>
      <c r="L42" s="473">
        <v>0</v>
      </c>
      <c r="M42" s="473">
        <v>0</v>
      </c>
      <c r="N42" s="473">
        <v>0</v>
      </c>
      <c r="O42" s="473">
        <v>0</v>
      </c>
      <c r="P42" s="473">
        <v>0</v>
      </c>
      <c r="Q42" s="473"/>
      <c r="R42" s="223"/>
      <c r="S42" s="473"/>
      <c r="T42" s="473"/>
      <c r="U42" s="473"/>
      <c r="V42" s="473"/>
      <c r="W42" s="473"/>
      <c r="X42" s="473"/>
      <c r="Y42" s="204"/>
      <c r="Z42" s="480"/>
      <c r="AA42" s="204"/>
    </row>
    <row r="43" spans="1:27" ht="15" customHeight="1">
      <c r="A43" s="202"/>
      <c r="B43" s="203" t="s">
        <v>143</v>
      </c>
      <c r="C43" s="467" t="s">
        <v>144</v>
      </c>
      <c r="D43" s="473"/>
      <c r="E43" s="473"/>
      <c r="F43" s="473"/>
      <c r="G43" s="473"/>
      <c r="H43" s="473"/>
      <c r="I43" s="473"/>
      <c r="J43" s="223"/>
      <c r="K43" s="480"/>
      <c r="L43" s="473"/>
      <c r="M43" s="473"/>
      <c r="N43" s="473"/>
      <c r="O43" s="473"/>
      <c r="P43" s="473"/>
      <c r="Q43" s="473"/>
      <c r="R43" s="223"/>
      <c r="S43" s="473"/>
      <c r="T43" s="473"/>
      <c r="U43" s="473"/>
      <c r="V43" s="473"/>
      <c r="W43" s="473"/>
      <c r="X43" s="473"/>
      <c r="Y43" s="204"/>
      <c r="Z43" s="480"/>
      <c r="AA43" s="204"/>
    </row>
    <row r="44" spans="1:27" ht="23.25" thickBot="1">
      <c r="A44" s="202"/>
      <c r="B44" s="203" t="s">
        <v>145</v>
      </c>
      <c r="C44" s="467" t="s">
        <v>146</v>
      </c>
      <c r="D44" s="473"/>
      <c r="E44" s="473"/>
      <c r="F44" s="473"/>
      <c r="G44" s="473"/>
      <c r="H44" s="473"/>
      <c r="I44" s="473"/>
      <c r="J44" s="223"/>
      <c r="K44" s="480"/>
      <c r="L44" s="473"/>
      <c r="M44" s="473"/>
      <c r="N44" s="473"/>
      <c r="O44" s="473"/>
      <c r="P44" s="473"/>
      <c r="Q44" s="473"/>
      <c r="R44" s="223"/>
      <c r="S44" s="473"/>
      <c r="T44" s="473"/>
      <c r="U44" s="473"/>
      <c r="V44" s="473"/>
      <c r="W44" s="473"/>
      <c r="X44" s="473"/>
      <c r="Y44" s="204"/>
      <c r="Z44" s="480"/>
      <c r="AA44" s="204"/>
    </row>
    <row r="45" spans="1:27" ht="15" customHeight="1" hidden="1" thickBot="1">
      <c r="A45" s="163" t="s">
        <v>10</v>
      </c>
      <c r="B45" s="199"/>
      <c r="C45" s="468" t="s">
        <v>147</v>
      </c>
      <c r="D45" s="459"/>
      <c r="E45" s="459"/>
      <c r="F45" s="459"/>
      <c r="G45" s="459"/>
      <c r="H45" s="459"/>
      <c r="I45" s="459"/>
      <c r="J45" s="218"/>
      <c r="K45" s="449"/>
      <c r="L45" s="459"/>
      <c r="M45" s="459"/>
      <c r="N45" s="459"/>
      <c r="O45" s="459"/>
      <c r="P45" s="459"/>
      <c r="Q45" s="459"/>
      <c r="R45" s="218"/>
      <c r="S45" s="459"/>
      <c r="T45" s="459"/>
      <c r="U45" s="459"/>
      <c r="V45" s="459"/>
      <c r="W45" s="459"/>
      <c r="X45" s="459"/>
      <c r="Y45" s="173"/>
      <c r="Z45" s="449"/>
      <c r="AA45" s="173"/>
    </row>
    <row r="46" spans="1:27" ht="14.25" customHeight="1" hidden="1" thickBot="1">
      <c r="A46" s="183" t="s">
        <v>11</v>
      </c>
      <c r="B46" s="184"/>
      <c r="C46" s="469" t="s">
        <v>148</v>
      </c>
      <c r="D46" s="459"/>
      <c r="E46" s="459"/>
      <c r="F46" s="459"/>
      <c r="G46" s="459"/>
      <c r="H46" s="459"/>
      <c r="I46" s="459"/>
      <c r="J46" s="218"/>
      <c r="K46" s="449"/>
      <c r="L46" s="459"/>
      <c r="M46" s="459"/>
      <c r="N46" s="459"/>
      <c r="O46" s="459"/>
      <c r="P46" s="459"/>
      <c r="Q46" s="459"/>
      <c r="R46" s="218"/>
      <c r="S46" s="459"/>
      <c r="T46" s="459"/>
      <c r="U46" s="459"/>
      <c r="V46" s="459"/>
      <c r="W46" s="459"/>
      <c r="X46" s="459"/>
      <c r="Y46" s="173"/>
      <c r="Z46" s="449"/>
      <c r="AA46" s="173"/>
    </row>
    <row r="47" spans="1:27" ht="13.5" thickBot="1">
      <c r="A47" s="163" t="s">
        <v>10</v>
      </c>
      <c r="B47" s="205"/>
      <c r="C47" s="470" t="s">
        <v>279</v>
      </c>
      <c r="D47" s="462">
        <f aca="true" t="shared" si="16" ref="D47:I47">D34+D40+D45+D46</f>
        <v>93897582</v>
      </c>
      <c r="E47" s="462">
        <f t="shared" si="16"/>
        <v>93897582</v>
      </c>
      <c r="F47" s="462">
        <f>F34+F40+F45+F46</f>
        <v>93910482</v>
      </c>
      <c r="G47" s="462">
        <f>G34+G40+G45+G46</f>
        <v>93910482</v>
      </c>
      <c r="H47" s="462">
        <f>H34+H40+H45+H46</f>
        <v>93983614</v>
      </c>
      <c r="I47" s="462">
        <f t="shared" si="16"/>
        <v>87387165</v>
      </c>
      <c r="J47" s="384">
        <f>I47/H47</f>
        <v>0.9298127756610849</v>
      </c>
      <c r="K47" s="188">
        <f aca="true" t="shared" si="17" ref="K47:Q47">K34+K40+K45+K46</f>
        <v>0</v>
      </c>
      <c r="L47" s="462">
        <f t="shared" si="17"/>
        <v>93897582</v>
      </c>
      <c r="M47" s="462">
        <f t="shared" si="17"/>
        <v>93897582</v>
      </c>
      <c r="N47" s="462">
        <f t="shared" si="17"/>
        <v>93910482</v>
      </c>
      <c r="O47" s="462">
        <f t="shared" si="17"/>
        <v>93910482</v>
      </c>
      <c r="P47" s="462">
        <f t="shared" si="17"/>
        <v>93983614</v>
      </c>
      <c r="Q47" s="462">
        <f t="shared" si="17"/>
        <v>87387165</v>
      </c>
      <c r="R47" s="384">
        <f>Q47/P47</f>
        <v>0.9298127756610849</v>
      </c>
      <c r="S47" s="462">
        <f aca="true" t="shared" si="18" ref="S47:X47">S34+S40+S45+S46</f>
        <v>5610894</v>
      </c>
      <c r="T47" s="462">
        <f t="shared" si="18"/>
        <v>5610894</v>
      </c>
      <c r="U47" s="462">
        <f t="shared" si="18"/>
        <v>5610894</v>
      </c>
      <c r="V47" s="462">
        <f t="shared" si="18"/>
        <v>5610894</v>
      </c>
      <c r="W47" s="462">
        <f t="shared" si="18"/>
        <v>5610894</v>
      </c>
      <c r="X47" s="462">
        <f t="shared" si="18"/>
        <v>5610894</v>
      </c>
      <c r="Y47" s="384">
        <f>X47/W47</f>
        <v>1</v>
      </c>
      <c r="Z47" s="481">
        <f>Y47/W47</f>
        <v>1.7822471784353796E-07</v>
      </c>
      <c r="AA47" s="206">
        <f>AA34+AA40+AA45+AA46</f>
        <v>0</v>
      </c>
    </row>
    <row r="48" spans="1:27" ht="13.5" thickBot="1">
      <c r="A48" s="207"/>
      <c r="B48" s="208"/>
      <c r="C48" s="208"/>
      <c r="D48" s="482"/>
      <c r="E48" s="482"/>
      <c r="F48" s="482"/>
      <c r="G48" s="482"/>
      <c r="H48" s="482"/>
      <c r="I48" s="482"/>
      <c r="J48" s="483"/>
      <c r="K48" s="754"/>
      <c r="L48" s="482"/>
      <c r="M48" s="482"/>
      <c r="N48" s="482"/>
      <c r="O48" s="482"/>
      <c r="P48" s="482"/>
      <c r="Q48" s="482"/>
      <c r="R48" s="483"/>
      <c r="S48" s="482"/>
      <c r="T48" s="482"/>
      <c r="U48" s="482"/>
      <c r="V48" s="482"/>
      <c r="W48" s="482"/>
      <c r="X48" s="482"/>
      <c r="Y48" s="484"/>
      <c r="AA48" s="484"/>
    </row>
    <row r="49" spans="1:27" ht="13.5" thickBot="1">
      <c r="A49" s="209" t="s">
        <v>150</v>
      </c>
      <c r="B49" s="210"/>
      <c r="C49" s="471"/>
      <c r="D49" s="485">
        <v>18</v>
      </c>
      <c r="E49" s="485">
        <v>18</v>
      </c>
      <c r="F49" s="485">
        <v>18</v>
      </c>
      <c r="G49" s="485">
        <v>18</v>
      </c>
      <c r="H49" s="485">
        <v>18</v>
      </c>
      <c r="I49" s="485">
        <v>17</v>
      </c>
      <c r="J49" s="384"/>
      <c r="K49" s="225"/>
      <c r="L49" s="485">
        <v>18</v>
      </c>
      <c r="M49" s="485">
        <v>18</v>
      </c>
      <c r="N49" s="485">
        <v>18</v>
      </c>
      <c r="O49" s="485">
        <v>18</v>
      </c>
      <c r="P49" s="485">
        <v>18</v>
      </c>
      <c r="Q49" s="485">
        <v>17</v>
      </c>
      <c r="R49" s="384"/>
      <c r="S49" s="485">
        <v>0</v>
      </c>
      <c r="T49" s="485">
        <v>2</v>
      </c>
      <c r="U49" s="485">
        <v>2</v>
      </c>
      <c r="V49" s="485">
        <v>2</v>
      </c>
      <c r="W49" s="485">
        <v>2</v>
      </c>
      <c r="X49" s="485">
        <v>0</v>
      </c>
      <c r="Y49" s="384">
        <f>X49/W49</f>
        <v>0</v>
      </c>
      <c r="Z49" s="225"/>
      <c r="AA49" s="474"/>
    </row>
    <row r="50" spans="1:27" ht="13.5" thickBot="1">
      <c r="A50" s="209" t="s">
        <v>151</v>
      </c>
      <c r="B50" s="210"/>
      <c r="C50" s="471"/>
      <c r="D50" s="485">
        <v>0</v>
      </c>
      <c r="E50" s="485">
        <v>0</v>
      </c>
      <c r="F50" s="485">
        <v>0</v>
      </c>
      <c r="G50" s="485">
        <v>0</v>
      </c>
      <c r="H50" s="485">
        <v>0</v>
      </c>
      <c r="I50" s="485">
        <v>0</v>
      </c>
      <c r="J50" s="384"/>
      <c r="K50" s="225"/>
      <c r="L50" s="485">
        <v>0</v>
      </c>
      <c r="M50" s="485">
        <v>0</v>
      </c>
      <c r="N50" s="485">
        <v>0</v>
      </c>
      <c r="O50" s="485">
        <v>0</v>
      </c>
      <c r="P50" s="485">
        <v>0</v>
      </c>
      <c r="Q50" s="485">
        <v>0</v>
      </c>
      <c r="R50" s="384"/>
      <c r="S50" s="485">
        <v>0</v>
      </c>
      <c r="T50" s="485">
        <v>0</v>
      </c>
      <c r="U50" s="485">
        <v>0</v>
      </c>
      <c r="V50" s="485">
        <v>0</v>
      </c>
      <c r="W50" s="485">
        <v>0</v>
      </c>
      <c r="X50" s="485">
        <v>0</v>
      </c>
      <c r="Y50" s="474"/>
      <c r="Z50" s="225"/>
      <c r="AA50" s="474"/>
    </row>
    <row r="51" spans="6:18" ht="7.5" customHeight="1">
      <c r="F51" s="227"/>
      <c r="G51" s="227"/>
      <c r="H51" s="227"/>
      <c r="I51" s="227"/>
      <c r="J51" s="227"/>
      <c r="K51" s="227"/>
      <c r="N51" s="227"/>
      <c r="O51" s="227"/>
      <c r="P51" s="227"/>
      <c r="Q51" s="227"/>
      <c r="R51" s="227"/>
    </row>
    <row r="52" spans="1:18" ht="12.75">
      <c r="A52" s="1195" t="s">
        <v>212</v>
      </c>
      <c r="B52" s="1195"/>
      <c r="C52" s="1195"/>
      <c r="F52" s="227"/>
      <c r="J52" s="144">
        <v>100213</v>
      </c>
      <c r="N52" s="227"/>
      <c r="O52" s="227"/>
      <c r="P52" s="227"/>
      <c r="Q52" s="227"/>
      <c r="R52" s="227"/>
    </row>
    <row r="53" spans="4:11" ht="12.75">
      <c r="D53" s="227">
        <v>0</v>
      </c>
      <c r="E53" s="227"/>
      <c r="F53" s="227"/>
      <c r="G53" s="227"/>
      <c r="H53" s="227"/>
      <c r="I53" s="227"/>
      <c r="J53" s="227"/>
      <c r="K53" s="227"/>
    </row>
  </sheetData>
  <sheetProtection/>
  <mergeCells count="7">
    <mergeCell ref="C1:W1"/>
    <mergeCell ref="A5:B5"/>
    <mergeCell ref="A3:S3"/>
    <mergeCell ref="A52:C52"/>
    <mergeCell ref="D5:K5"/>
    <mergeCell ref="L5:R5"/>
    <mergeCell ref="S5:Z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8"/>
  <sheetViews>
    <sheetView workbookViewId="0" topLeftCell="A1">
      <selection activeCell="L2" sqref="L2"/>
    </sheetView>
  </sheetViews>
  <sheetFormatPr defaultColWidth="9.140625" defaultRowHeight="12.75"/>
  <cols>
    <col min="1" max="1" width="8.28125" style="313" customWidth="1"/>
    <col min="2" max="2" width="8.28125" style="307" customWidth="1"/>
    <col min="3" max="3" width="52.00390625" style="307" customWidth="1"/>
    <col min="4" max="4" width="13.28125" style="307" customWidth="1"/>
    <col min="5" max="5" width="11.28125" style="307" hidden="1" customWidth="1"/>
    <col min="6" max="6" width="11.00390625" style="307" hidden="1" customWidth="1"/>
    <col min="7" max="7" width="12.140625" style="307" hidden="1" customWidth="1"/>
    <col min="8" max="8" width="12.28125" style="307" hidden="1" customWidth="1"/>
    <col min="9" max="9" width="13.00390625" style="307" customWidth="1"/>
    <col min="10" max="10" width="9.8515625" style="307" hidden="1" customWidth="1"/>
    <col min="11" max="11" width="9.7109375" style="307" hidden="1" customWidth="1"/>
    <col min="12" max="12" width="13.7109375" style="307" customWidth="1"/>
    <col min="13" max="13" width="11.28125" style="307" hidden="1" customWidth="1"/>
    <col min="14" max="14" width="14.00390625" style="307" hidden="1" customWidth="1"/>
    <col min="15" max="15" width="11.28125" style="307" hidden="1" customWidth="1"/>
    <col min="16" max="16" width="12.28125" style="307" hidden="1" customWidth="1"/>
    <col min="17" max="17" width="13.00390625" style="307" customWidth="1"/>
    <col min="18" max="18" width="8.421875" style="307" hidden="1" customWidth="1"/>
    <col min="19" max="19" width="13.57421875" style="307" bestFit="1" customWidth="1"/>
    <col min="20" max="20" width="6.28125" style="307" hidden="1" customWidth="1"/>
    <col min="21" max="21" width="7.140625" style="307" hidden="1" customWidth="1"/>
    <col min="22" max="22" width="8.57421875" style="307" hidden="1" customWidth="1"/>
    <col min="23" max="23" width="13.28125" style="307" customWidth="1"/>
    <col min="24" max="16384" width="9.140625" style="307" customWidth="1"/>
  </cols>
  <sheetData>
    <row r="1" spans="1:22" s="136" customFormat="1" ht="21" customHeight="1">
      <c r="A1" s="132"/>
      <c r="B1" s="133"/>
      <c r="C1" s="134"/>
      <c r="D1" s="135"/>
      <c r="E1" s="135"/>
      <c r="F1" s="135"/>
      <c r="G1" s="135"/>
      <c r="H1" s="135"/>
      <c r="I1" s="135"/>
      <c r="J1" s="135"/>
      <c r="K1" s="135"/>
      <c r="L1" s="1191" t="s">
        <v>635</v>
      </c>
      <c r="M1" s="1191"/>
      <c r="N1" s="1191"/>
      <c r="O1" s="1191"/>
      <c r="P1" s="1191"/>
      <c r="Q1" s="1191"/>
      <c r="R1" s="1191"/>
      <c r="S1" s="1191"/>
      <c r="T1" s="1191"/>
      <c r="U1" s="1191"/>
      <c r="V1" s="1191"/>
    </row>
    <row r="2" spans="1:11" s="136" customFormat="1" ht="21" customHeight="1">
      <c r="A2" s="247"/>
      <c r="B2" s="133"/>
      <c r="C2" s="138"/>
      <c r="D2" s="137"/>
      <c r="E2" s="137"/>
      <c r="F2" s="137"/>
      <c r="G2" s="137"/>
      <c r="H2" s="137"/>
      <c r="I2" s="137"/>
      <c r="J2" s="137"/>
      <c r="K2" s="137"/>
    </row>
    <row r="3" spans="1:19" s="139" customFormat="1" ht="25.5" customHeight="1">
      <c r="A3" s="1194" t="s">
        <v>216</v>
      </c>
      <c r="B3" s="1194"/>
      <c r="C3" s="1194"/>
      <c r="D3" s="1194"/>
      <c r="E3" s="1194"/>
      <c r="F3" s="1194"/>
      <c r="G3" s="1194"/>
      <c r="H3" s="1194"/>
      <c r="I3" s="1194"/>
      <c r="J3" s="1194"/>
      <c r="K3" s="1194"/>
      <c r="L3" s="1194"/>
      <c r="M3" s="1194"/>
      <c r="N3" s="1194"/>
      <c r="O3" s="1194"/>
      <c r="P3" s="1194"/>
      <c r="Q3" s="1194"/>
      <c r="R3" s="1194"/>
      <c r="S3" s="1194"/>
    </row>
    <row r="4" spans="1:19" s="142" customFormat="1" ht="15.75" customHeight="1" thickBot="1">
      <c r="A4" s="140"/>
      <c r="B4" s="140"/>
      <c r="C4" s="140"/>
      <c r="S4" s="141" t="s">
        <v>459</v>
      </c>
    </row>
    <row r="5" spans="1:23" s="142" customFormat="1" ht="41.25" customHeight="1" thickBot="1">
      <c r="A5" s="140"/>
      <c r="B5" s="140"/>
      <c r="C5" s="140"/>
      <c r="D5" s="1201" t="s">
        <v>5</v>
      </c>
      <c r="E5" s="1202"/>
      <c r="F5" s="1202"/>
      <c r="G5" s="1202"/>
      <c r="H5" s="1202"/>
      <c r="I5" s="1202"/>
      <c r="J5" s="1202"/>
      <c r="K5" s="1203"/>
      <c r="L5" s="1201" t="s">
        <v>105</v>
      </c>
      <c r="M5" s="1202"/>
      <c r="N5" s="1202"/>
      <c r="O5" s="1202"/>
      <c r="P5" s="1202"/>
      <c r="Q5" s="1202"/>
      <c r="R5" s="1203"/>
      <c r="S5" s="1201" t="s">
        <v>153</v>
      </c>
      <c r="T5" s="1202"/>
      <c r="U5" s="1202"/>
      <c r="V5" s="1202"/>
      <c r="W5" s="1202"/>
    </row>
    <row r="6" spans="1:23" ht="13.5" thickBot="1">
      <c r="A6" s="1192" t="s">
        <v>107</v>
      </c>
      <c r="B6" s="1193"/>
      <c r="C6" s="486" t="s">
        <v>108</v>
      </c>
      <c r="D6" s="476" t="s">
        <v>65</v>
      </c>
      <c r="E6" s="143" t="s">
        <v>229</v>
      </c>
      <c r="F6" s="143" t="s">
        <v>232</v>
      </c>
      <c r="G6" s="143" t="s">
        <v>234</v>
      </c>
      <c r="H6" s="486" t="s">
        <v>248</v>
      </c>
      <c r="I6" s="486" t="s">
        <v>253</v>
      </c>
      <c r="J6" s="447" t="s">
        <v>238</v>
      </c>
      <c r="K6" s="446" t="s">
        <v>252</v>
      </c>
      <c r="L6" s="476" t="s">
        <v>65</v>
      </c>
      <c r="M6" s="143" t="s">
        <v>229</v>
      </c>
      <c r="N6" s="143" t="s">
        <v>232</v>
      </c>
      <c r="O6" s="143" t="s">
        <v>234</v>
      </c>
      <c r="P6" s="486" t="s">
        <v>248</v>
      </c>
      <c r="Q6" s="486" t="s">
        <v>253</v>
      </c>
      <c r="R6" s="447" t="s">
        <v>238</v>
      </c>
      <c r="S6" s="476" t="s">
        <v>65</v>
      </c>
      <c r="T6" s="143" t="s">
        <v>229</v>
      </c>
      <c r="U6" s="143" t="s">
        <v>232</v>
      </c>
      <c r="V6" s="143" t="s">
        <v>234</v>
      </c>
      <c r="W6" s="143" t="s">
        <v>253</v>
      </c>
    </row>
    <row r="7" spans="1:23" s="148" customFormat="1" ht="12.75" customHeight="1" thickBot="1">
      <c r="A7" s="145">
        <v>1</v>
      </c>
      <c r="B7" s="146">
        <v>2</v>
      </c>
      <c r="C7" s="297">
        <v>3</v>
      </c>
      <c r="D7" s="145">
        <v>4</v>
      </c>
      <c r="E7" s="146">
        <v>5</v>
      </c>
      <c r="F7" s="146">
        <v>6</v>
      </c>
      <c r="G7" s="146">
        <v>7</v>
      </c>
      <c r="H7" s="297">
        <v>8</v>
      </c>
      <c r="I7" s="297">
        <v>5</v>
      </c>
      <c r="J7" s="147">
        <v>9</v>
      </c>
      <c r="K7" s="1065">
        <v>9</v>
      </c>
      <c r="L7" s="145">
        <v>6</v>
      </c>
      <c r="M7" s="146">
        <v>10</v>
      </c>
      <c r="N7" s="146">
        <v>11</v>
      </c>
      <c r="O7" s="146">
        <v>12</v>
      </c>
      <c r="P7" s="297">
        <v>13</v>
      </c>
      <c r="Q7" s="147">
        <v>7</v>
      </c>
      <c r="R7" s="493">
        <v>15</v>
      </c>
      <c r="S7" s="145">
        <v>8</v>
      </c>
      <c r="T7" s="146">
        <v>15</v>
      </c>
      <c r="U7" s="147">
        <v>16</v>
      </c>
      <c r="V7" s="147">
        <v>17</v>
      </c>
      <c r="W7" s="147">
        <v>9</v>
      </c>
    </row>
    <row r="8" spans="1:23" s="148" customFormat="1" ht="15.75" customHeight="1" thickBot="1">
      <c r="A8" s="149"/>
      <c r="B8" s="150"/>
      <c r="C8" s="150" t="s">
        <v>109</v>
      </c>
      <c r="D8" s="453"/>
      <c r="E8" s="453"/>
      <c r="F8" s="498"/>
      <c r="G8" s="498"/>
      <c r="H8" s="833"/>
      <c r="I8" s="833"/>
      <c r="J8" s="763"/>
      <c r="K8" s="756"/>
      <c r="L8" s="500"/>
      <c r="M8" s="453"/>
      <c r="N8" s="271"/>
      <c r="O8" s="271"/>
      <c r="P8" s="834"/>
      <c r="Q8" s="272"/>
      <c r="R8" s="494"/>
      <c r="S8" s="500"/>
      <c r="T8" s="271"/>
      <c r="U8" s="272"/>
      <c r="V8" s="272"/>
      <c r="W8" s="272"/>
    </row>
    <row r="9" spans="1:23" s="154" customFormat="1" ht="12" customHeight="1" thickBot="1">
      <c r="A9" s="145" t="s">
        <v>27</v>
      </c>
      <c r="B9" s="151"/>
      <c r="C9" s="487" t="s">
        <v>339</v>
      </c>
      <c r="D9" s="454">
        <f aca="true" t="shared" si="0" ref="D9:I9">SUM(D10:D17)</f>
        <v>32986499</v>
      </c>
      <c r="E9" s="454">
        <f t="shared" si="0"/>
        <v>32986499</v>
      </c>
      <c r="F9" s="454">
        <f t="shared" si="0"/>
        <v>32993499</v>
      </c>
      <c r="G9" s="454">
        <f t="shared" si="0"/>
        <v>32993499</v>
      </c>
      <c r="H9" s="454">
        <f t="shared" si="0"/>
        <v>32993499</v>
      </c>
      <c r="I9" s="454">
        <f t="shared" si="0"/>
        <v>34540533</v>
      </c>
      <c r="J9" s="384"/>
      <c r="K9" s="273"/>
      <c r="L9" s="454">
        <f aca="true" t="shared" si="1" ref="L9:Q9">SUM(L10:L17)</f>
        <v>32986499</v>
      </c>
      <c r="M9" s="454">
        <f t="shared" si="1"/>
        <v>32986499</v>
      </c>
      <c r="N9" s="454">
        <f t="shared" si="1"/>
        <v>32993499</v>
      </c>
      <c r="O9" s="454">
        <f t="shared" si="1"/>
        <v>32993499</v>
      </c>
      <c r="P9" s="454">
        <f t="shared" si="1"/>
        <v>32993499</v>
      </c>
      <c r="Q9" s="454">
        <f t="shared" si="1"/>
        <v>34540533</v>
      </c>
      <c r="R9" s="384">
        <f>Q9/P9</f>
        <v>1.0468890553257173</v>
      </c>
      <c r="S9" s="454"/>
      <c r="T9" s="214"/>
      <c r="U9" s="153"/>
      <c r="V9" s="153"/>
      <c r="W9" s="153"/>
    </row>
    <row r="10" spans="1:23" s="154" customFormat="1" ht="12" customHeight="1">
      <c r="A10" s="155"/>
      <c r="B10" s="166" t="s">
        <v>36</v>
      </c>
      <c r="C10" s="907" t="s">
        <v>487</v>
      </c>
      <c r="D10" s="910">
        <v>13750320</v>
      </c>
      <c r="E10" s="910">
        <v>13750320</v>
      </c>
      <c r="F10" s="910">
        <v>13750320</v>
      </c>
      <c r="G10" s="910">
        <v>13750320</v>
      </c>
      <c r="H10" s="910">
        <v>13750320</v>
      </c>
      <c r="I10" s="910">
        <v>14543305</v>
      </c>
      <c r="J10" s="883"/>
      <c r="K10" s="899"/>
      <c r="L10" s="910">
        <v>13750320</v>
      </c>
      <c r="M10" s="910">
        <v>13750320</v>
      </c>
      <c r="N10" s="910">
        <v>13750320</v>
      </c>
      <c r="O10" s="910">
        <v>13750320</v>
      </c>
      <c r="P10" s="910">
        <v>13750320</v>
      </c>
      <c r="Q10" s="910">
        <v>14543305</v>
      </c>
      <c r="R10" s="883"/>
      <c r="S10" s="885"/>
      <c r="T10" s="881"/>
      <c r="U10" s="884"/>
      <c r="V10" s="884"/>
      <c r="W10" s="884"/>
    </row>
    <row r="11" spans="1:23" s="154" customFormat="1" ht="12" customHeight="1">
      <c r="A11" s="157"/>
      <c r="B11" s="156" t="s">
        <v>37</v>
      </c>
      <c r="C11" s="908" t="s">
        <v>337</v>
      </c>
      <c r="D11" s="911">
        <v>5500000</v>
      </c>
      <c r="E11" s="911">
        <v>5500000</v>
      </c>
      <c r="F11" s="911">
        <v>5500000</v>
      </c>
      <c r="G11" s="911">
        <v>5500000</v>
      </c>
      <c r="H11" s="911">
        <v>5500000</v>
      </c>
      <c r="I11" s="911">
        <v>5500000</v>
      </c>
      <c r="J11" s="889"/>
      <c r="K11" s="900"/>
      <c r="L11" s="911">
        <v>5500000</v>
      </c>
      <c r="M11" s="911">
        <v>5500000</v>
      </c>
      <c r="N11" s="911">
        <v>5500000</v>
      </c>
      <c r="O11" s="911">
        <v>5500000</v>
      </c>
      <c r="P11" s="911">
        <v>5500000</v>
      </c>
      <c r="Q11" s="911">
        <v>5500000</v>
      </c>
      <c r="R11" s="889"/>
      <c r="S11" s="891"/>
      <c r="T11" s="887"/>
      <c r="U11" s="890"/>
      <c r="V11" s="890"/>
      <c r="W11" s="890"/>
    </row>
    <row r="12" spans="1:23" s="154" customFormat="1" ht="12" customHeight="1">
      <c r="A12" s="157"/>
      <c r="B12" s="156" t="s">
        <v>38</v>
      </c>
      <c r="C12" s="908" t="s">
        <v>489</v>
      </c>
      <c r="D12" s="911">
        <v>1770000</v>
      </c>
      <c r="E12" s="911">
        <v>1770000</v>
      </c>
      <c r="F12" s="911">
        <v>1770000</v>
      </c>
      <c r="G12" s="911">
        <v>1770000</v>
      </c>
      <c r="H12" s="911">
        <v>1770000</v>
      </c>
      <c r="I12" s="911">
        <v>1770000</v>
      </c>
      <c r="J12" s="889"/>
      <c r="K12" s="900"/>
      <c r="L12" s="911">
        <v>1770000</v>
      </c>
      <c r="M12" s="911">
        <v>1770000</v>
      </c>
      <c r="N12" s="911">
        <v>1770000</v>
      </c>
      <c r="O12" s="911">
        <v>1770000</v>
      </c>
      <c r="P12" s="911">
        <v>1770000</v>
      </c>
      <c r="Q12" s="911">
        <v>1770000</v>
      </c>
      <c r="R12" s="889"/>
      <c r="S12" s="891"/>
      <c r="T12" s="887"/>
      <c r="U12" s="890"/>
      <c r="V12" s="890"/>
      <c r="W12" s="890"/>
    </row>
    <row r="13" spans="1:23" s="154" customFormat="1" ht="12" customHeight="1">
      <c r="A13" s="157"/>
      <c r="B13" s="156" t="s">
        <v>49</v>
      </c>
      <c r="C13" s="908" t="s">
        <v>490</v>
      </c>
      <c r="D13" s="911">
        <v>5151069</v>
      </c>
      <c r="E13" s="911">
        <v>5151069</v>
      </c>
      <c r="F13" s="911">
        <v>5151069</v>
      </c>
      <c r="G13" s="911">
        <v>5151069</v>
      </c>
      <c r="H13" s="911">
        <v>5151069</v>
      </c>
      <c r="I13" s="911">
        <v>5663190</v>
      </c>
      <c r="J13" s="889"/>
      <c r="K13" s="900"/>
      <c r="L13" s="911">
        <v>5151069</v>
      </c>
      <c r="M13" s="911">
        <v>5151069</v>
      </c>
      <c r="N13" s="911">
        <v>5151069</v>
      </c>
      <c r="O13" s="911">
        <v>5151069</v>
      </c>
      <c r="P13" s="911">
        <v>5151069</v>
      </c>
      <c r="Q13" s="911">
        <v>5663190</v>
      </c>
      <c r="R13" s="889"/>
      <c r="S13" s="891"/>
      <c r="T13" s="887"/>
      <c r="U13" s="890"/>
      <c r="V13" s="890"/>
      <c r="W13" s="890"/>
    </row>
    <row r="14" spans="1:23" s="154" customFormat="1" ht="12" customHeight="1">
      <c r="A14" s="157"/>
      <c r="B14" s="156" t="s">
        <v>50</v>
      </c>
      <c r="C14" s="909" t="s">
        <v>491</v>
      </c>
      <c r="D14" s="912">
        <v>6815110</v>
      </c>
      <c r="E14" s="912">
        <v>6815110</v>
      </c>
      <c r="F14" s="912">
        <v>6815110</v>
      </c>
      <c r="G14" s="912">
        <v>6815110</v>
      </c>
      <c r="H14" s="912">
        <v>6815110</v>
      </c>
      <c r="I14" s="912">
        <v>6917038</v>
      </c>
      <c r="J14" s="896"/>
      <c r="K14" s="906"/>
      <c r="L14" s="912">
        <v>6815110</v>
      </c>
      <c r="M14" s="912">
        <v>6815110</v>
      </c>
      <c r="N14" s="912">
        <v>6815110</v>
      </c>
      <c r="O14" s="912">
        <v>6815110</v>
      </c>
      <c r="P14" s="912">
        <v>6815110</v>
      </c>
      <c r="Q14" s="912">
        <v>6917038</v>
      </c>
      <c r="R14" s="896"/>
      <c r="S14" s="898"/>
      <c r="T14" s="894"/>
      <c r="U14" s="897"/>
      <c r="V14" s="897"/>
      <c r="W14" s="897"/>
    </row>
    <row r="15" spans="1:23" s="154" customFormat="1" ht="12" customHeight="1">
      <c r="A15" s="157"/>
      <c r="B15" s="156" t="s">
        <v>492</v>
      </c>
      <c r="C15" s="909" t="s">
        <v>314</v>
      </c>
      <c r="D15" s="898">
        <v>0</v>
      </c>
      <c r="E15" s="898">
        <v>0</v>
      </c>
      <c r="F15" s="912">
        <v>2000</v>
      </c>
      <c r="G15" s="912">
        <v>2000</v>
      </c>
      <c r="H15" s="912">
        <v>2000</v>
      </c>
      <c r="I15" s="912">
        <v>1400</v>
      </c>
      <c r="J15" s="991"/>
      <c r="K15" s="992"/>
      <c r="L15" s="912">
        <v>0</v>
      </c>
      <c r="M15" s="912">
        <v>0</v>
      </c>
      <c r="N15" s="912">
        <v>2000</v>
      </c>
      <c r="O15" s="912">
        <v>2000</v>
      </c>
      <c r="P15" s="912">
        <v>2000</v>
      </c>
      <c r="Q15" s="912">
        <v>1400</v>
      </c>
      <c r="R15" s="896"/>
      <c r="S15" s="898"/>
      <c r="T15" s="894"/>
      <c r="U15" s="897"/>
      <c r="V15" s="897"/>
      <c r="W15" s="897"/>
    </row>
    <row r="16" spans="1:23" s="154" customFormat="1" ht="12" customHeight="1">
      <c r="A16" s="157"/>
      <c r="B16" s="156" t="s">
        <v>493</v>
      </c>
      <c r="C16" s="893" t="s">
        <v>488</v>
      </c>
      <c r="D16" s="898"/>
      <c r="E16" s="898"/>
      <c r="F16" s="912">
        <v>5000</v>
      </c>
      <c r="G16" s="912">
        <v>5000</v>
      </c>
      <c r="H16" s="912">
        <v>5000</v>
      </c>
      <c r="I16" s="912">
        <v>145600</v>
      </c>
      <c r="J16" s="991"/>
      <c r="K16" s="992"/>
      <c r="L16" s="912"/>
      <c r="M16" s="912"/>
      <c r="N16" s="912">
        <v>5000</v>
      </c>
      <c r="O16" s="912">
        <v>5000</v>
      </c>
      <c r="P16" s="912">
        <v>5000</v>
      </c>
      <c r="Q16" s="912">
        <v>145600</v>
      </c>
      <c r="R16" s="896"/>
      <c r="S16" s="898"/>
      <c r="T16" s="894"/>
      <c r="U16" s="897"/>
      <c r="V16" s="897"/>
      <c r="W16" s="897"/>
    </row>
    <row r="17" spans="1:23" s="154" customFormat="1" ht="12" customHeight="1" thickBot="1">
      <c r="A17" s="913"/>
      <c r="B17" s="914"/>
      <c r="C17" s="901"/>
      <c r="D17" s="902"/>
      <c r="E17" s="902"/>
      <c r="F17" s="993"/>
      <c r="G17" s="993"/>
      <c r="H17" s="993"/>
      <c r="I17" s="993"/>
      <c r="J17" s="994"/>
      <c r="K17" s="995"/>
      <c r="L17" s="993"/>
      <c r="M17" s="993"/>
      <c r="N17" s="993"/>
      <c r="O17" s="993"/>
      <c r="P17" s="993"/>
      <c r="Q17" s="993"/>
      <c r="R17" s="903"/>
      <c r="S17" s="902"/>
      <c r="T17" s="904"/>
      <c r="U17" s="905"/>
      <c r="V17" s="905"/>
      <c r="W17" s="905"/>
    </row>
    <row r="18" spans="1:23" s="154" customFormat="1" ht="12" customHeight="1" thickBot="1">
      <c r="A18" s="145" t="s">
        <v>28</v>
      </c>
      <c r="B18" s="151"/>
      <c r="C18" s="487" t="s">
        <v>116</v>
      </c>
      <c r="D18" s="454">
        <f aca="true" t="shared" si="2" ref="D18:I18">D19+D21</f>
        <v>0</v>
      </c>
      <c r="E18" s="454">
        <f t="shared" si="2"/>
        <v>0</v>
      </c>
      <c r="F18" s="454">
        <f t="shared" si="2"/>
        <v>0</v>
      </c>
      <c r="G18" s="454">
        <f t="shared" si="2"/>
        <v>0</v>
      </c>
      <c r="H18" s="454">
        <f t="shared" si="2"/>
        <v>0</v>
      </c>
      <c r="I18" s="454">
        <f t="shared" si="2"/>
        <v>0</v>
      </c>
      <c r="J18" s="384"/>
      <c r="K18" s="273">
        <f aca="true" t="shared" si="3" ref="K18:Q18">K19+K21</f>
        <v>0</v>
      </c>
      <c r="L18" s="454">
        <f t="shared" si="3"/>
        <v>0</v>
      </c>
      <c r="M18" s="454">
        <f t="shared" si="3"/>
        <v>0</v>
      </c>
      <c r="N18" s="454">
        <f t="shared" si="3"/>
        <v>0</v>
      </c>
      <c r="O18" s="454">
        <f t="shared" si="3"/>
        <v>0</v>
      </c>
      <c r="P18" s="454">
        <f t="shared" si="3"/>
        <v>0</v>
      </c>
      <c r="Q18" s="454">
        <f t="shared" si="3"/>
        <v>0</v>
      </c>
      <c r="R18" s="384"/>
      <c r="S18" s="454"/>
      <c r="T18" s="214"/>
      <c r="U18" s="153"/>
      <c r="V18" s="153"/>
      <c r="W18" s="153"/>
    </row>
    <row r="19" spans="1:23" s="160" customFormat="1" ht="12" customHeight="1">
      <c r="A19" s="157"/>
      <c r="B19" s="156" t="s">
        <v>39</v>
      </c>
      <c r="C19" s="466" t="s">
        <v>72</v>
      </c>
      <c r="D19" s="456"/>
      <c r="E19" s="456"/>
      <c r="F19" s="456"/>
      <c r="G19" s="456"/>
      <c r="H19" s="456"/>
      <c r="I19" s="456"/>
      <c r="J19" s="723"/>
      <c r="K19" s="757"/>
      <c r="L19" s="456"/>
      <c r="M19" s="456"/>
      <c r="N19" s="456"/>
      <c r="O19" s="456"/>
      <c r="P19" s="456"/>
      <c r="Q19" s="456"/>
      <c r="R19" s="723"/>
      <c r="S19" s="456"/>
      <c r="T19" s="215"/>
      <c r="U19" s="159"/>
      <c r="V19" s="159"/>
      <c r="W19" s="159"/>
    </row>
    <row r="20" spans="1:23" s="160" customFormat="1" ht="12" customHeight="1">
      <c r="A20" s="157"/>
      <c r="B20" s="156" t="s">
        <v>40</v>
      </c>
      <c r="C20" s="467" t="s">
        <v>119</v>
      </c>
      <c r="D20" s="456"/>
      <c r="E20" s="456"/>
      <c r="F20" s="456"/>
      <c r="G20" s="456"/>
      <c r="H20" s="456"/>
      <c r="I20" s="456"/>
      <c r="J20" s="723"/>
      <c r="K20" s="757"/>
      <c r="L20" s="456"/>
      <c r="M20" s="456"/>
      <c r="N20" s="456"/>
      <c r="O20" s="456"/>
      <c r="P20" s="456"/>
      <c r="Q20" s="456"/>
      <c r="R20" s="723"/>
      <c r="S20" s="456"/>
      <c r="T20" s="215"/>
      <c r="U20" s="159"/>
      <c r="V20" s="159"/>
      <c r="W20" s="159"/>
    </row>
    <row r="21" spans="1:23" s="160" customFormat="1" ht="12" customHeight="1">
      <c r="A21" s="157"/>
      <c r="B21" s="156" t="s">
        <v>41</v>
      </c>
      <c r="C21" s="467" t="s">
        <v>73</v>
      </c>
      <c r="D21" s="456"/>
      <c r="E21" s="456"/>
      <c r="F21" s="456"/>
      <c r="G21" s="456"/>
      <c r="H21" s="456"/>
      <c r="I21" s="456"/>
      <c r="J21" s="723"/>
      <c r="K21" s="757"/>
      <c r="L21" s="456"/>
      <c r="M21" s="456"/>
      <c r="N21" s="456"/>
      <c r="O21" s="456"/>
      <c r="P21" s="456"/>
      <c r="Q21" s="456"/>
      <c r="R21" s="723"/>
      <c r="S21" s="456"/>
      <c r="T21" s="215"/>
      <c r="U21" s="159"/>
      <c r="V21" s="159"/>
      <c r="W21" s="159"/>
    </row>
    <row r="22" spans="1:23" s="160" customFormat="1" ht="12" customHeight="1" thickBot="1">
      <c r="A22" s="157"/>
      <c r="B22" s="156" t="s">
        <v>275</v>
      </c>
      <c r="C22" s="467" t="s">
        <v>119</v>
      </c>
      <c r="D22" s="456"/>
      <c r="E22" s="456"/>
      <c r="F22" s="456"/>
      <c r="G22" s="456"/>
      <c r="H22" s="456"/>
      <c r="I22" s="456"/>
      <c r="J22" s="723"/>
      <c r="K22" s="757"/>
      <c r="L22" s="456"/>
      <c r="M22" s="456"/>
      <c r="N22" s="456"/>
      <c r="O22" s="456"/>
      <c r="P22" s="456"/>
      <c r="Q22" s="456"/>
      <c r="R22" s="723"/>
      <c r="S22" s="456"/>
      <c r="T22" s="215"/>
      <c r="U22" s="159"/>
      <c r="V22" s="159"/>
      <c r="W22" s="159"/>
    </row>
    <row r="23" spans="1:23" s="160" customFormat="1" ht="12" customHeight="1" thickBot="1">
      <c r="A23" s="163" t="s">
        <v>10</v>
      </c>
      <c r="B23" s="164"/>
      <c r="C23" s="465" t="s">
        <v>122</v>
      </c>
      <c r="D23" s="454">
        <f aca="true" t="shared" si="4" ref="D23:I23">SUM(D24:D25)</f>
        <v>0</v>
      </c>
      <c r="E23" s="454">
        <f t="shared" si="4"/>
        <v>0</v>
      </c>
      <c r="F23" s="454">
        <f t="shared" si="4"/>
        <v>108000</v>
      </c>
      <c r="G23" s="454">
        <f t="shared" si="4"/>
        <v>108000</v>
      </c>
      <c r="H23" s="454">
        <f t="shared" si="4"/>
        <v>108000</v>
      </c>
      <c r="I23" s="454">
        <f t="shared" si="4"/>
        <v>108000</v>
      </c>
      <c r="J23" s="384"/>
      <c r="K23" s="273">
        <f aca="true" t="shared" si="5" ref="K23:Q23">SUM(K24:K25)</f>
        <v>0</v>
      </c>
      <c r="L23" s="454">
        <f t="shared" si="5"/>
        <v>0</v>
      </c>
      <c r="M23" s="454">
        <f t="shared" si="5"/>
        <v>0</v>
      </c>
      <c r="N23" s="454">
        <f t="shared" si="5"/>
        <v>108000</v>
      </c>
      <c r="O23" s="454">
        <f t="shared" si="5"/>
        <v>108000</v>
      </c>
      <c r="P23" s="454">
        <f t="shared" si="5"/>
        <v>108000</v>
      </c>
      <c r="Q23" s="454">
        <f t="shared" si="5"/>
        <v>108000</v>
      </c>
      <c r="R23" s="384"/>
      <c r="S23" s="454"/>
      <c r="T23" s="214"/>
      <c r="U23" s="153"/>
      <c r="V23" s="153"/>
      <c r="W23" s="153"/>
    </row>
    <row r="24" spans="1:23" s="154" customFormat="1" ht="12" customHeight="1">
      <c r="A24" s="165"/>
      <c r="B24" s="166" t="s">
        <v>42</v>
      </c>
      <c r="C24" s="488" t="s">
        <v>124</v>
      </c>
      <c r="D24" s="457"/>
      <c r="E24" s="457"/>
      <c r="F24" s="457">
        <v>108000</v>
      </c>
      <c r="G24" s="457">
        <v>108000</v>
      </c>
      <c r="H24" s="457">
        <v>108000</v>
      </c>
      <c r="I24" s="457">
        <v>108000</v>
      </c>
      <c r="J24" s="724"/>
      <c r="K24" s="758"/>
      <c r="L24" s="457"/>
      <c r="M24" s="457"/>
      <c r="N24" s="457">
        <v>108000</v>
      </c>
      <c r="O24" s="457">
        <v>108000</v>
      </c>
      <c r="P24" s="457">
        <v>108000</v>
      </c>
      <c r="Q24" s="457">
        <v>108000</v>
      </c>
      <c r="R24" s="724"/>
      <c r="S24" s="457"/>
      <c r="T24" s="216"/>
      <c r="U24" s="168"/>
      <c r="V24" s="168"/>
      <c r="W24" s="168"/>
    </row>
    <row r="25" spans="1:23" s="154" customFormat="1" ht="12" customHeight="1" thickBot="1">
      <c r="A25" s="169"/>
      <c r="B25" s="170" t="s">
        <v>43</v>
      </c>
      <c r="C25" s="489" t="s">
        <v>126</v>
      </c>
      <c r="D25" s="458"/>
      <c r="E25" s="458"/>
      <c r="F25" s="458"/>
      <c r="G25" s="458"/>
      <c r="H25" s="458"/>
      <c r="I25" s="458"/>
      <c r="J25" s="725"/>
      <c r="K25" s="759"/>
      <c r="L25" s="458"/>
      <c r="M25" s="458"/>
      <c r="N25" s="458"/>
      <c r="O25" s="458"/>
      <c r="P25" s="458"/>
      <c r="Q25" s="458"/>
      <c r="R25" s="725"/>
      <c r="S25" s="458"/>
      <c r="T25" s="217"/>
      <c r="U25" s="172"/>
      <c r="V25" s="172"/>
      <c r="W25" s="172"/>
    </row>
    <row r="26" spans="1:23" s="154" customFormat="1" ht="12" customHeight="1" thickBot="1">
      <c r="A26" s="163"/>
      <c r="B26" s="151"/>
      <c r="D26" s="459"/>
      <c r="E26" s="459"/>
      <c r="F26" s="459"/>
      <c r="G26" s="459"/>
      <c r="H26" s="459"/>
      <c r="I26" s="459"/>
      <c r="J26" s="726"/>
      <c r="K26" s="270"/>
      <c r="L26" s="459"/>
      <c r="M26" s="459"/>
      <c r="N26" s="459"/>
      <c r="O26" s="459"/>
      <c r="P26" s="459"/>
      <c r="Q26" s="459"/>
      <c r="R26" s="726"/>
      <c r="S26" s="459"/>
      <c r="T26" s="218"/>
      <c r="U26" s="173"/>
      <c r="V26" s="173"/>
      <c r="W26" s="173"/>
    </row>
    <row r="27" spans="1:23" s="154" customFormat="1" ht="12" customHeight="1" thickBot="1">
      <c r="A27" s="145" t="s">
        <v>11</v>
      </c>
      <c r="B27" s="174"/>
      <c r="C27" s="465" t="s">
        <v>276</v>
      </c>
      <c r="D27" s="454">
        <f aca="true" t="shared" si="6" ref="D27:I27">D9+D18+D23+D26</f>
        <v>32986499</v>
      </c>
      <c r="E27" s="454">
        <f t="shared" si="6"/>
        <v>32986499</v>
      </c>
      <c r="F27" s="454">
        <f t="shared" si="6"/>
        <v>33101499</v>
      </c>
      <c r="G27" s="454">
        <f t="shared" si="6"/>
        <v>33101499</v>
      </c>
      <c r="H27" s="454">
        <f t="shared" si="6"/>
        <v>33101499</v>
      </c>
      <c r="I27" s="454">
        <f t="shared" si="6"/>
        <v>34648533</v>
      </c>
      <c r="J27" s="384">
        <f>I27/H27</f>
        <v>1.0467360707743174</v>
      </c>
      <c r="K27" s="273">
        <f aca="true" t="shared" si="7" ref="K27:Q27">K9+K18+K23+K26</f>
        <v>0</v>
      </c>
      <c r="L27" s="454">
        <f t="shared" si="7"/>
        <v>32986499</v>
      </c>
      <c r="M27" s="454">
        <f t="shared" si="7"/>
        <v>32986499</v>
      </c>
      <c r="N27" s="454">
        <f t="shared" si="7"/>
        <v>33101499</v>
      </c>
      <c r="O27" s="454">
        <f t="shared" si="7"/>
        <v>33101499</v>
      </c>
      <c r="P27" s="454">
        <f t="shared" si="7"/>
        <v>33101499</v>
      </c>
      <c r="Q27" s="454">
        <f t="shared" si="7"/>
        <v>34648533</v>
      </c>
      <c r="R27" s="384">
        <f>Q27/P27</f>
        <v>1.0467360707743174</v>
      </c>
      <c r="S27" s="454"/>
      <c r="T27" s="214"/>
      <c r="U27" s="153"/>
      <c r="V27" s="153"/>
      <c r="W27" s="153"/>
    </row>
    <row r="28" spans="1:23" s="160" customFormat="1" ht="12" customHeight="1" thickBot="1">
      <c r="A28" s="175" t="s">
        <v>12</v>
      </c>
      <c r="B28" s="176"/>
      <c r="C28" s="490" t="s">
        <v>277</v>
      </c>
      <c r="D28" s="460">
        <f aca="true" t="shared" si="8" ref="D28:I28">SUM(D29:D31)</f>
        <v>100017390</v>
      </c>
      <c r="E28" s="460">
        <f t="shared" si="8"/>
        <v>100032389</v>
      </c>
      <c r="F28" s="460">
        <f t="shared" si="8"/>
        <v>100048704</v>
      </c>
      <c r="G28" s="460">
        <f t="shared" si="8"/>
        <v>100048704</v>
      </c>
      <c r="H28" s="460">
        <f t="shared" si="8"/>
        <v>100486901</v>
      </c>
      <c r="I28" s="460">
        <f t="shared" si="8"/>
        <v>91400672</v>
      </c>
      <c r="J28" s="384">
        <f>I28/H28</f>
        <v>0.9095779757403405</v>
      </c>
      <c r="K28" s="274">
        <f aca="true" t="shared" si="9" ref="K28:Q28">SUM(K29:K31)</f>
        <v>0</v>
      </c>
      <c r="L28" s="460">
        <f t="shared" si="9"/>
        <v>100017390</v>
      </c>
      <c r="M28" s="460">
        <f t="shared" si="9"/>
        <v>100032389</v>
      </c>
      <c r="N28" s="460">
        <f t="shared" si="9"/>
        <v>100048704</v>
      </c>
      <c r="O28" s="460">
        <f t="shared" si="9"/>
        <v>100048704</v>
      </c>
      <c r="P28" s="460">
        <f t="shared" si="9"/>
        <v>100486901</v>
      </c>
      <c r="Q28" s="460">
        <f t="shared" si="9"/>
        <v>91400672</v>
      </c>
      <c r="R28" s="384">
        <f>Q28/P28</f>
        <v>0.9095779757403405</v>
      </c>
      <c r="S28" s="454"/>
      <c r="T28" s="214"/>
      <c r="U28" s="153"/>
      <c r="V28" s="153"/>
      <c r="W28" s="153"/>
    </row>
    <row r="29" spans="1:23" s="160" customFormat="1" ht="15" customHeight="1" thickBot="1">
      <c r="A29" s="155"/>
      <c r="B29" s="178" t="s">
        <v>44</v>
      </c>
      <c r="C29" s="488" t="s">
        <v>131</v>
      </c>
      <c r="D29" s="457">
        <v>1765083</v>
      </c>
      <c r="E29" s="457">
        <v>1765083</v>
      </c>
      <c r="F29" s="457">
        <v>1765083</v>
      </c>
      <c r="G29" s="457">
        <v>1765083</v>
      </c>
      <c r="H29" s="457">
        <v>1765083</v>
      </c>
      <c r="I29" s="457">
        <v>1765083</v>
      </c>
      <c r="J29" s="755"/>
      <c r="K29" s="758"/>
      <c r="L29" s="457">
        <v>1765083</v>
      </c>
      <c r="M29" s="457">
        <v>1765083</v>
      </c>
      <c r="N29" s="457">
        <v>1765083</v>
      </c>
      <c r="O29" s="457">
        <v>1765083</v>
      </c>
      <c r="P29" s="457">
        <v>1765083</v>
      </c>
      <c r="Q29" s="457">
        <v>1765083</v>
      </c>
      <c r="R29" s="755">
        <f>Q29/P29</f>
        <v>1</v>
      </c>
      <c r="S29" s="463"/>
      <c r="T29" s="464"/>
      <c r="U29" s="275"/>
      <c r="V29" s="275"/>
      <c r="W29" s="275"/>
    </row>
    <row r="30" spans="1:23" s="160" customFormat="1" ht="15" customHeight="1">
      <c r="A30" s="594"/>
      <c r="B30" s="595" t="s">
        <v>45</v>
      </c>
      <c r="C30" s="488" t="s">
        <v>460</v>
      </c>
      <c r="D30" s="596">
        <v>98252307</v>
      </c>
      <c r="E30" s="596">
        <f>98252307+14999</f>
        <v>98267306</v>
      </c>
      <c r="F30" s="596">
        <f>98252307+14999+4445+11870</f>
        <v>98283621</v>
      </c>
      <c r="G30" s="596">
        <f>98252307+14999+4445+11870</f>
        <v>98283621</v>
      </c>
      <c r="H30" s="596">
        <f>98252307+14999+4445+11870+438197</f>
        <v>98721818</v>
      </c>
      <c r="I30" s="596">
        <v>89635589</v>
      </c>
      <c r="J30" s="755"/>
      <c r="K30" s="760"/>
      <c r="L30" s="596">
        <v>98252307</v>
      </c>
      <c r="M30" s="596">
        <f>98252307+14999</f>
        <v>98267306</v>
      </c>
      <c r="N30" s="596">
        <f>98252307+14999+4445+11870</f>
        <v>98283621</v>
      </c>
      <c r="O30" s="596">
        <f>98252307+14999+4445+11870</f>
        <v>98283621</v>
      </c>
      <c r="P30" s="596">
        <f>98252307+14999+4445+11870+438197</f>
        <v>98721818</v>
      </c>
      <c r="Q30" s="596">
        <v>89635589</v>
      </c>
      <c r="R30" s="755">
        <f>Q30/P30</f>
        <v>0.9079612877469497</v>
      </c>
      <c r="S30" s="598"/>
      <c r="T30" s="599"/>
      <c r="U30" s="600"/>
      <c r="V30" s="600"/>
      <c r="W30" s="600"/>
    </row>
    <row r="31" spans="1:23" s="160" customFormat="1" ht="15" customHeight="1" thickBot="1">
      <c r="A31" s="179"/>
      <c r="B31" s="180" t="s">
        <v>71</v>
      </c>
      <c r="C31" s="491" t="s">
        <v>133</v>
      </c>
      <c r="D31" s="461"/>
      <c r="E31" s="461"/>
      <c r="F31" s="461"/>
      <c r="G31" s="461"/>
      <c r="H31" s="461"/>
      <c r="I31" s="461"/>
      <c r="J31" s="727"/>
      <c r="K31" s="761"/>
      <c r="L31" s="461"/>
      <c r="M31" s="461"/>
      <c r="N31" s="461"/>
      <c r="O31" s="461"/>
      <c r="P31" s="461"/>
      <c r="Q31" s="461"/>
      <c r="R31" s="727"/>
      <c r="S31" s="461"/>
      <c r="T31" s="220"/>
      <c r="U31" s="182"/>
      <c r="V31" s="182"/>
      <c r="W31" s="182"/>
    </row>
    <row r="32" spans="1:23" ht="13.5" thickBot="1">
      <c r="A32" s="183" t="s">
        <v>13</v>
      </c>
      <c r="B32" s="308"/>
      <c r="C32" s="469" t="s">
        <v>134</v>
      </c>
      <c r="D32" s="459"/>
      <c r="E32" s="459"/>
      <c r="F32" s="459"/>
      <c r="G32" s="459"/>
      <c r="H32" s="459"/>
      <c r="I32" s="459"/>
      <c r="J32" s="726"/>
      <c r="K32" s="270"/>
      <c r="L32" s="459"/>
      <c r="M32" s="459"/>
      <c r="N32" s="459"/>
      <c r="O32" s="459"/>
      <c r="P32" s="459"/>
      <c r="Q32" s="459"/>
      <c r="R32" s="726"/>
      <c r="S32" s="459"/>
      <c r="T32" s="218"/>
      <c r="U32" s="173"/>
      <c r="V32" s="173"/>
      <c r="W32" s="173"/>
    </row>
    <row r="33" spans="1:23" s="148" customFormat="1" ht="16.5" customHeight="1" thickBot="1">
      <c r="A33" s="183">
        <v>7</v>
      </c>
      <c r="B33" s="309"/>
      <c r="C33" s="492" t="s">
        <v>278</v>
      </c>
      <c r="D33" s="462">
        <f aca="true" t="shared" si="10" ref="D33:I33">D27+D32+D28</f>
        <v>133003889</v>
      </c>
      <c r="E33" s="462">
        <f t="shared" si="10"/>
        <v>133018888</v>
      </c>
      <c r="F33" s="462">
        <f t="shared" si="10"/>
        <v>133150203</v>
      </c>
      <c r="G33" s="462">
        <f t="shared" si="10"/>
        <v>133150203</v>
      </c>
      <c r="H33" s="462">
        <f t="shared" si="10"/>
        <v>133588400</v>
      </c>
      <c r="I33" s="462">
        <f t="shared" si="10"/>
        <v>126049205</v>
      </c>
      <c r="J33" s="384">
        <f>I33/H33</f>
        <v>0.9435639995688249</v>
      </c>
      <c r="K33" s="276">
        <f aca="true" t="shared" si="11" ref="K33:Q33">K27+K32+K28</f>
        <v>0</v>
      </c>
      <c r="L33" s="462">
        <f t="shared" si="11"/>
        <v>133003889</v>
      </c>
      <c r="M33" s="462">
        <f t="shared" si="11"/>
        <v>133018888</v>
      </c>
      <c r="N33" s="462">
        <f t="shared" si="11"/>
        <v>133150203</v>
      </c>
      <c r="O33" s="462">
        <f t="shared" si="11"/>
        <v>133150203</v>
      </c>
      <c r="P33" s="462">
        <f t="shared" si="11"/>
        <v>133588400</v>
      </c>
      <c r="Q33" s="462">
        <f t="shared" si="11"/>
        <v>126049205</v>
      </c>
      <c r="R33" s="384">
        <f>Q33/P33</f>
        <v>0.9435639995688249</v>
      </c>
      <c r="S33" s="462"/>
      <c r="T33" s="221"/>
      <c r="U33" s="206"/>
      <c r="V33" s="206"/>
      <c r="W33" s="206"/>
    </row>
    <row r="34" spans="1:23" s="192" customFormat="1" ht="12" customHeight="1">
      <c r="A34" s="189"/>
      <c r="B34" s="189"/>
      <c r="C34" s="190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</row>
    <row r="35" spans="1:23" ht="12" customHeight="1" thickBot="1">
      <c r="A35" s="193"/>
      <c r="B35" s="194"/>
      <c r="C35" s="194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</row>
    <row r="36" spans="1:23" ht="12" customHeight="1" thickBot="1">
      <c r="A36" s="196"/>
      <c r="B36" s="197"/>
      <c r="C36" s="198" t="s">
        <v>136</v>
      </c>
      <c r="D36" s="462"/>
      <c r="E36" s="462"/>
      <c r="F36" s="462"/>
      <c r="G36" s="462"/>
      <c r="H36" s="221"/>
      <c r="I36" s="221"/>
      <c r="J36" s="221"/>
      <c r="K36" s="206"/>
      <c r="L36" s="462"/>
      <c r="M36" s="462"/>
      <c r="N36" s="221"/>
      <c r="O36" s="221"/>
      <c r="P36" s="221"/>
      <c r="Q36" s="221"/>
      <c r="R36" s="206"/>
      <c r="S36" s="462"/>
      <c r="T36" s="221"/>
      <c r="U36" s="206"/>
      <c r="V36" s="206"/>
      <c r="W36" s="206"/>
    </row>
    <row r="37" spans="1:23" ht="12" customHeight="1" thickBot="1">
      <c r="A37" s="163" t="s">
        <v>27</v>
      </c>
      <c r="B37" s="199"/>
      <c r="C37" s="465" t="s">
        <v>137</v>
      </c>
      <c r="D37" s="454">
        <f aca="true" t="shared" si="12" ref="D37:I37">SUM(D38:D42)</f>
        <v>133003889</v>
      </c>
      <c r="E37" s="454">
        <f t="shared" si="12"/>
        <v>133003889</v>
      </c>
      <c r="F37" s="454">
        <f>SUM(F38:F42)</f>
        <v>133130759</v>
      </c>
      <c r="G37" s="454">
        <f>SUM(G38:G42)</f>
        <v>133130759</v>
      </c>
      <c r="H37" s="454">
        <f>SUM(H38:H42)</f>
        <v>133568956</v>
      </c>
      <c r="I37" s="454">
        <f t="shared" si="12"/>
        <v>125838984</v>
      </c>
      <c r="J37" s="384">
        <f>I37/H37</f>
        <v>0.9421274805801432</v>
      </c>
      <c r="K37" s="448">
        <f aca="true" t="shared" si="13" ref="K37:Q37">SUM(K38:K42)</f>
        <v>0</v>
      </c>
      <c r="L37" s="454">
        <f t="shared" si="13"/>
        <v>133003889</v>
      </c>
      <c r="M37" s="454">
        <f t="shared" si="13"/>
        <v>133003889</v>
      </c>
      <c r="N37" s="454">
        <f t="shared" si="13"/>
        <v>133130759</v>
      </c>
      <c r="O37" s="454">
        <f t="shared" si="13"/>
        <v>133130759</v>
      </c>
      <c r="P37" s="454">
        <f t="shared" si="13"/>
        <v>133568956</v>
      </c>
      <c r="Q37" s="454">
        <f t="shared" si="13"/>
        <v>125838984</v>
      </c>
      <c r="R37" s="384">
        <f>Q37/P37</f>
        <v>0.9421274805801432</v>
      </c>
      <c r="S37" s="454"/>
      <c r="T37" s="214"/>
      <c r="U37" s="153"/>
      <c r="V37" s="153"/>
      <c r="W37" s="153"/>
    </row>
    <row r="38" spans="1:23" ht="12" customHeight="1">
      <c r="A38" s="200"/>
      <c r="B38" s="201" t="s">
        <v>111</v>
      </c>
      <c r="C38" s="466" t="s">
        <v>138</v>
      </c>
      <c r="D38" s="472">
        <v>65356366</v>
      </c>
      <c r="E38" s="472">
        <v>65356366</v>
      </c>
      <c r="F38" s="472">
        <f>65356366-65180</f>
        <v>65291186</v>
      </c>
      <c r="G38" s="472">
        <f>65356366-65180</f>
        <v>65291186</v>
      </c>
      <c r="H38" s="472">
        <f>65356366-65180-200000</f>
        <v>65091186</v>
      </c>
      <c r="I38" s="222">
        <v>63467692</v>
      </c>
      <c r="J38" s="724"/>
      <c r="K38" s="753"/>
      <c r="L38" s="472">
        <v>65356366</v>
      </c>
      <c r="M38" s="472">
        <v>65356366</v>
      </c>
      <c r="N38" s="472">
        <f>65356366-65180</f>
        <v>65291186</v>
      </c>
      <c r="O38" s="472">
        <f>65356366-65180</f>
        <v>65291186</v>
      </c>
      <c r="P38" s="472">
        <f>65356366-65180-200000</f>
        <v>65091186</v>
      </c>
      <c r="Q38" s="222">
        <v>63467692</v>
      </c>
      <c r="R38" s="724">
        <f>Q38/P38</f>
        <v>0.9750581591799541</v>
      </c>
      <c r="S38" s="456"/>
      <c r="T38" s="215"/>
      <c r="U38" s="159"/>
      <c r="V38" s="159"/>
      <c r="W38" s="159"/>
    </row>
    <row r="39" spans="1:23" ht="12" customHeight="1">
      <c r="A39" s="202"/>
      <c r="B39" s="203" t="s">
        <v>112</v>
      </c>
      <c r="C39" s="467" t="s">
        <v>51</v>
      </c>
      <c r="D39" s="473">
        <v>14810593</v>
      </c>
      <c r="E39" s="473">
        <v>14810593</v>
      </c>
      <c r="F39" s="473">
        <v>14810593</v>
      </c>
      <c r="G39" s="473">
        <v>14810593</v>
      </c>
      <c r="H39" s="473">
        <f>20853-39600+14810593</f>
        <v>14791846</v>
      </c>
      <c r="I39" s="223">
        <v>14851979</v>
      </c>
      <c r="J39" s="755"/>
      <c r="K39" s="480"/>
      <c r="L39" s="473">
        <v>14810593</v>
      </c>
      <c r="M39" s="473">
        <v>14810593</v>
      </c>
      <c r="N39" s="473">
        <v>14810593</v>
      </c>
      <c r="O39" s="473">
        <v>14810593</v>
      </c>
      <c r="P39" s="473">
        <f>20853-39600+14810593</f>
        <v>14791846</v>
      </c>
      <c r="Q39" s="223">
        <v>14851979</v>
      </c>
      <c r="R39" s="755">
        <f>Q39/P39</f>
        <v>1.0040652802902357</v>
      </c>
      <c r="S39" s="456"/>
      <c r="T39" s="215"/>
      <c r="U39" s="159"/>
      <c r="V39" s="159"/>
      <c r="W39" s="159"/>
    </row>
    <row r="40" spans="1:23" ht="12" customHeight="1">
      <c r="A40" s="202"/>
      <c r="B40" s="203" t="s">
        <v>113</v>
      </c>
      <c r="C40" s="467" t="s">
        <v>139</v>
      </c>
      <c r="D40" s="473">
        <v>52836930</v>
      </c>
      <c r="E40" s="473">
        <v>52836930</v>
      </c>
      <c r="F40" s="473">
        <f>52836930+192050</f>
        <v>53028980</v>
      </c>
      <c r="G40" s="473">
        <f>52836930+192050</f>
        <v>53028980</v>
      </c>
      <c r="H40" s="473">
        <f>52836930+192050+438197+218747</f>
        <v>53685924</v>
      </c>
      <c r="I40" s="223">
        <v>47519313</v>
      </c>
      <c r="J40" s="755"/>
      <c r="K40" s="480"/>
      <c r="L40" s="473">
        <v>52836930</v>
      </c>
      <c r="M40" s="473">
        <v>52836930</v>
      </c>
      <c r="N40" s="473">
        <f>52836930+192050</f>
        <v>53028980</v>
      </c>
      <c r="O40" s="473">
        <f>52836930+192050</f>
        <v>53028980</v>
      </c>
      <c r="P40" s="473">
        <f>52836930+192050+438197+218747</f>
        <v>53685924</v>
      </c>
      <c r="Q40" s="223">
        <v>47519313</v>
      </c>
      <c r="R40" s="755">
        <f>Q40/P40</f>
        <v>0.8851354220894102</v>
      </c>
      <c r="S40" s="456"/>
      <c r="T40" s="215"/>
      <c r="U40" s="159"/>
      <c r="V40" s="159"/>
      <c r="W40" s="159"/>
    </row>
    <row r="41" spans="1:23" s="192" customFormat="1" ht="12" customHeight="1">
      <c r="A41" s="202"/>
      <c r="B41" s="203" t="s">
        <v>114</v>
      </c>
      <c r="C41" s="467" t="s">
        <v>81</v>
      </c>
      <c r="D41" s="473"/>
      <c r="E41" s="473"/>
      <c r="F41" s="473"/>
      <c r="G41" s="473"/>
      <c r="H41" s="473"/>
      <c r="I41" s="223"/>
      <c r="J41" s="223"/>
      <c r="K41" s="480"/>
      <c r="L41" s="473"/>
      <c r="M41" s="473"/>
      <c r="N41" s="473"/>
      <c r="O41" s="473"/>
      <c r="P41" s="473"/>
      <c r="Q41" s="223"/>
      <c r="R41" s="223"/>
      <c r="S41" s="456"/>
      <c r="T41" s="215"/>
      <c r="U41" s="159"/>
      <c r="V41" s="159"/>
      <c r="W41" s="159"/>
    </row>
    <row r="42" spans="1:23" ht="12" customHeight="1" thickBot="1">
      <c r="A42" s="202"/>
      <c r="B42" s="203" t="s">
        <v>50</v>
      </c>
      <c r="C42" s="467" t="s">
        <v>83</v>
      </c>
      <c r="D42" s="473"/>
      <c r="E42" s="473"/>
      <c r="F42" s="473"/>
      <c r="G42" s="473"/>
      <c r="H42" s="473"/>
      <c r="I42" s="223"/>
      <c r="J42" s="755"/>
      <c r="K42" s="480"/>
      <c r="L42" s="473"/>
      <c r="M42" s="473"/>
      <c r="N42" s="473"/>
      <c r="O42" s="473"/>
      <c r="P42" s="473"/>
      <c r="Q42" s="223"/>
      <c r="R42" s="755" t="e">
        <f>P42/O42</f>
        <v>#DIV/0!</v>
      </c>
      <c r="S42" s="473"/>
      <c r="T42" s="223"/>
      <c r="U42" s="204"/>
      <c r="V42" s="204"/>
      <c r="W42" s="204"/>
    </row>
    <row r="43" spans="1:23" ht="12" customHeight="1" thickBot="1">
      <c r="A43" s="163" t="s">
        <v>28</v>
      </c>
      <c r="B43" s="199"/>
      <c r="C43" s="465" t="s">
        <v>140</v>
      </c>
      <c r="D43" s="454">
        <f aca="true" t="shared" si="14" ref="D43:I43">SUM(D44:D48)</f>
        <v>0</v>
      </c>
      <c r="E43" s="454">
        <f t="shared" si="14"/>
        <v>14999</v>
      </c>
      <c r="F43" s="454">
        <f t="shared" si="14"/>
        <v>19444</v>
      </c>
      <c r="G43" s="454">
        <f t="shared" si="14"/>
        <v>19444</v>
      </c>
      <c r="H43" s="454">
        <f t="shared" si="14"/>
        <v>19444</v>
      </c>
      <c r="I43" s="454">
        <f t="shared" si="14"/>
        <v>210221</v>
      </c>
      <c r="J43" s="384">
        <f>I43/H43</f>
        <v>10.811612836864843</v>
      </c>
      <c r="K43" s="448">
        <f aca="true" t="shared" si="15" ref="K43:Q43">SUM(K44:K48)</f>
        <v>0</v>
      </c>
      <c r="L43" s="454">
        <f t="shared" si="15"/>
        <v>0</v>
      </c>
      <c r="M43" s="454">
        <f t="shared" si="15"/>
        <v>14999</v>
      </c>
      <c r="N43" s="454">
        <f t="shared" si="15"/>
        <v>19444</v>
      </c>
      <c r="O43" s="454">
        <f t="shared" si="15"/>
        <v>19444</v>
      </c>
      <c r="P43" s="454">
        <f t="shared" si="15"/>
        <v>19444</v>
      </c>
      <c r="Q43" s="454">
        <f t="shared" si="15"/>
        <v>210221</v>
      </c>
      <c r="R43" s="384">
        <f>Q43/P43</f>
        <v>10.811612836864843</v>
      </c>
      <c r="S43" s="454"/>
      <c r="T43" s="214"/>
      <c r="U43" s="153"/>
      <c r="V43" s="153"/>
      <c r="W43" s="153"/>
    </row>
    <row r="44" spans="1:23" ht="12" customHeight="1">
      <c r="A44" s="200"/>
      <c r="B44" s="201" t="s">
        <v>141</v>
      </c>
      <c r="C44" s="466" t="s">
        <v>93</v>
      </c>
      <c r="D44" s="472"/>
      <c r="E44" s="472">
        <v>14999</v>
      </c>
      <c r="F44" s="472">
        <f>14999+4445</f>
        <v>19444</v>
      </c>
      <c r="G44" s="472">
        <f>14999+4445</f>
        <v>19444</v>
      </c>
      <c r="H44" s="472">
        <f>14999+4445</f>
        <v>19444</v>
      </c>
      <c r="I44" s="222">
        <v>210221</v>
      </c>
      <c r="J44" s="724"/>
      <c r="K44" s="753"/>
      <c r="L44" s="472"/>
      <c r="M44" s="472">
        <v>14999</v>
      </c>
      <c r="N44" s="472">
        <f>14999+4445</f>
        <v>19444</v>
      </c>
      <c r="O44" s="472">
        <f>14999+4445</f>
        <v>19444</v>
      </c>
      <c r="P44" s="472">
        <f>14999+4445</f>
        <v>19444</v>
      </c>
      <c r="Q44" s="222">
        <v>210221</v>
      </c>
      <c r="R44" s="724">
        <f>Q44/P44</f>
        <v>10.811612836864843</v>
      </c>
      <c r="S44" s="456"/>
      <c r="T44" s="215"/>
      <c r="U44" s="159"/>
      <c r="V44" s="159"/>
      <c r="W44" s="159"/>
    </row>
    <row r="45" spans="1:23" ht="12" customHeight="1">
      <c r="A45" s="200"/>
      <c r="B45" s="201"/>
      <c r="C45" s="466" t="s">
        <v>352</v>
      </c>
      <c r="D45" s="472"/>
      <c r="E45" s="472"/>
      <c r="F45" s="472"/>
      <c r="G45" s="472"/>
      <c r="H45" s="472"/>
      <c r="I45" s="222"/>
      <c r="J45" s="222"/>
      <c r="K45" s="753"/>
      <c r="L45" s="472"/>
      <c r="M45" s="472"/>
      <c r="N45" s="472"/>
      <c r="O45" s="472"/>
      <c r="P45" s="472"/>
      <c r="Q45" s="222"/>
      <c r="R45" s="222"/>
      <c r="S45" s="456"/>
      <c r="T45" s="215"/>
      <c r="U45" s="159"/>
      <c r="V45" s="159"/>
      <c r="W45" s="159"/>
    </row>
    <row r="46" spans="1:23" ht="12" customHeight="1">
      <c r="A46" s="202"/>
      <c r="B46" s="203" t="s">
        <v>142</v>
      </c>
      <c r="C46" s="467" t="s">
        <v>94</v>
      </c>
      <c r="D46" s="473"/>
      <c r="E46" s="473"/>
      <c r="F46" s="473"/>
      <c r="G46" s="473"/>
      <c r="H46" s="473"/>
      <c r="I46" s="223"/>
      <c r="J46" s="223"/>
      <c r="K46" s="480"/>
      <c r="L46" s="473"/>
      <c r="M46" s="473"/>
      <c r="N46" s="473"/>
      <c r="O46" s="473"/>
      <c r="P46" s="473"/>
      <c r="Q46" s="223"/>
      <c r="R46" s="223"/>
      <c r="S46" s="473"/>
      <c r="T46" s="223"/>
      <c r="U46" s="204"/>
      <c r="V46" s="204"/>
      <c r="W46" s="204"/>
    </row>
    <row r="47" spans="1:23" ht="15" customHeight="1">
      <c r="A47" s="202"/>
      <c r="B47" s="203" t="s">
        <v>41</v>
      </c>
      <c r="C47" s="467" t="s">
        <v>144</v>
      </c>
      <c r="D47" s="473"/>
      <c r="E47" s="473"/>
      <c r="F47" s="473"/>
      <c r="G47" s="473"/>
      <c r="H47" s="473"/>
      <c r="I47" s="223"/>
      <c r="J47" s="223"/>
      <c r="K47" s="480"/>
      <c r="L47" s="473"/>
      <c r="M47" s="473"/>
      <c r="N47" s="473"/>
      <c r="O47" s="473"/>
      <c r="P47" s="473"/>
      <c r="Q47" s="223"/>
      <c r="R47" s="223"/>
      <c r="S47" s="473"/>
      <c r="T47" s="223"/>
      <c r="U47" s="204"/>
      <c r="V47" s="204"/>
      <c r="W47" s="204"/>
    </row>
    <row r="48" spans="1:23" ht="13.5" thickBot="1">
      <c r="A48" s="202"/>
      <c r="B48" s="203" t="s">
        <v>275</v>
      </c>
      <c r="C48" s="467" t="s">
        <v>146</v>
      </c>
      <c r="D48" s="473"/>
      <c r="E48" s="473"/>
      <c r="F48" s="473"/>
      <c r="G48" s="473"/>
      <c r="H48" s="473"/>
      <c r="I48" s="223"/>
      <c r="J48" s="223"/>
      <c r="K48" s="480"/>
      <c r="L48" s="473"/>
      <c r="M48" s="473"/>
      <c r="N48" s="473"/>
      <c r="O48" s="473"/>
      <c r="P48" s="473"/>
      <c r="Q48" s="223"/>
      <c r="R48" s="223"/>
      <c r="S48" s="473"/>
      <c r="T48" s="223"/>
      <c r="U48" s="204"/>
      <c r="V48" s="204"/>
      <c r="W48" s="204"/>
    </row>
    <row r="49" spans="1:23" ht="15" customHeight="1" thickBot="1">
      <c r="A49" s="163" t="s">
        <v>10</v>
      </c>
      <c r="B49" s="199"/>
      <c r="C49" s="468" t="s">
        <v>147</v>
      </c>
      <c r="D49" s="459"/>
      <c r="E49" s="459"/>
      <c r="F49" s="459"/>
      <c r="G49" s="459"/>
      <c r="H49" s="459"/>
      <c r="I49" s="218"/>
      <c r="J49" s="218"/>
      <c r="K49" s="449"/>
      <c r="L49" s="459"/>
      <c r="M49" s="459"/>
      <c r="N49" s="459"/>
      <c r="O49" s="459"/>
      <c r="P49" s="459"/>
      <c r="Q49" s="218"/>
      <c r="R49" s="218"/>
      <c r="S49" s="459"/>
      <c r="T49" s="218"/>
      <c r="U49" s="173"/>
      <c r="V49" s="173"/>
      <c r="W49" s="173"/>
    </row>
    <row r="50" spans="1:23" ht="14.25" customHeight="1" thickBot="1">
      <c r="A50" s="183" t="s">
        <v>11</v>
      </c>
      <c r="B50" s="308"/>
      <c r="C50" s="469" t="s">
        <v>148</v>
      </c>
      <c r="D50" s="459"/>
      <c r="E50" s="459"/>
      <c r="F50" s="459"/>
      <c r="G50" s="459"/>
      <c r="H50" s="459"/>
      <c r="I50" s="218"/>
      <c r="J50" s="218"/>
      <c r="K50" s="449"/>
      <c r="L50" s="459"/>
      <c r="M50" s="459"/>
      <c r="N50" s="459"/>
      <c r="O50" s="459"/>
      <c r="P50" s="459"/>
      <c r="Q50" s="218"/>
      <c r="R50" s="218"/>
      <c r="S50" s="459"/>
      <c r="T50" s="218"/>
      <c r="U50" s="173"/>
      <c r="V50" s="173"/>
      <c r="W50" s="173"/>
    </row>
    <row r="51" spans="1:23" ht="13.5" thickBot="1">
      <c r="A51" s="163">
        <v>5</v>
      </c>
      <c r="B51" s="205"/>
      <c r="C51" s="470" t="s">
        <v>279</v>
      </c>
      <c r="D51" s="462">
        <f aca="true" t="shared" si="16" ref="D51:I51">D37+D43+D49+D50</f>
        <v>133003889</v>
      </c>
      <c r="E51" s="462">
        <f t="shared" si="16"/>
        <v>133018888</v>
      </c>
      <c r="F51" s="462">
        <f>F37+F43+F49+F50</f>
        <v>133150203</v>
      </c>
      <c r="G51" s="462">
        <f>G37+G43+G49+G50</f>
        <v>133150203</v>
      </c>
      <c r="H51" s="462">
        <f>H37+H43+H49+H50</f>
        <v>133588400</v>
      </c>
      <c r="I51" s="462">
        <f t="shared" si="16"/>
        <v>126049205</v>
      </c>
      <c r="J51" s="384">
        <f>I51/H51</f>
        <v>0.9435639995688249</v>
      </c>
      <c r="K51" s="188">
        <f aca="true" t="shared" si="17" ref="K51:Q51">K37+K43+K49+K50</f>
        <v>0</v>
      </c>
      <c r="L51" s="462">
        <f t="shared" si="17"/>
        <v>133003889</v>
      </c>
      <c r="M51" s="462">
        <f t="shared" si="17"/>
        <v>133018888</v>
      </c>
      <c r="N51" s="462">
        <f t="shared" si="17"/>
        <v>133150203</v>
      </c>
      <c r="O51" s="462">
        <f t="shared" si="17"/>
        <v>133150203</v>
      </c>
      <c r="P51" s="462">
        <f t="shared" si="17"/>
        <v>133588400</v>
      </c>
      <c r="Q51" s="462">
        <f t="shared" si="17"/>
        <v>126049205</v>
      </c>
      <c r="R51" s="384">
        <f>Q51/P51</f>
        <v>0.9435639995688249</v>
      </c>
      <c r="S51" s="462"/>
      <c r="T51" s="221"/>
      <c r="U51" s="206"/>
      <c r="V51" s="206"/>
      <c r="W51" s="206"/>
    </row>
    <row r="52" spans="1:23" ht="13.5" thickBot="1">
      <c r="A52" s="310"/>
      <c r="B52" s="311"/>
      <c r="C52" s="311"/>
      <c r="D52" s="501"/>
      <c r="E52" s="501"/>
      <c r="F52" s="501"/>
      <c r="G52" s="501"/>
      <c r="H52" s="501"/>
      <c r="I52" s="502"/>
      <c r="J52" s="502"/>
      <c r="K52" s="762"/>
      <c r="L52" s="501"/>
      <c r="M52" s="501"/>
      <c r="N52" s="501"/>
      <c r="O52" s="501"/>
      <c r="P52" s="501"/>
      <c r="Q52" s="502"/>
      <c r="R52" s="502"/>
      <c r="S52" s="501"/>
      <c r="T52" s="502"/>
      <c r="U52" s="503"/>
      <c r="V52" s="503"/>
      <c r="W52" s="503"/>
    </row>
    <row r="53" spans="1:23" ht="13.5" thickBot="1">
      <c r="A53" s="209" t="s">
        <v>150</v>
      </c>
      <c r="B53" s="210"/>
      <c r="C53" s="471"/>
      <c r="D53" s="485">
        <v>22</v>
      </c>
      <c r="E53" s="485">
        <v>22</v>
      </c>
      <c r="F53" s="485">
        <v>22</v>
      </c>
      <c r="G53" s="485">
        <v>22</v>
      </c>
      <c r="H53" s="485">
        <v>22</v>
      </c>
      <c r="I53" s="226">
        <v>22</v>
      </c>
      <c r="J53" s="384">
        <f>I53/H53</f>
        <v>1</v>
      </c>
      <c r="K53" s="225"/>
      <c r="L53" s="485">
        <v>22</v>
      </c>
      <c r="M53" s="485">
        <v>22</v>
      </c>
      <c r="N53" s="485">
        <v>22</v>
      </c>
      <c r="O53" s="485">
        <v>22</v>
      </c>
      <c r="P53" s="485">
        <v>22</v>
      </c>
      <c r="Q53" s="226">
        <v>22</v>
      </c>
      <c r="R53" s="384">
        <f>Q53/P53</f>
        <v>1</v>
      </c>
      <c r="S53" s="485"/>
      <c r="T53" s="226"/>
      <c r="U53" s="474"/>
      <c r="V53" s="474"/>
      <c r="W53" s="474"/>
    </row>
    <row r="54" spans="1:23" ht="13.5" thickBot="1">
      <c r="A54" s="209" t="s">
        <v>151</v>
      </c>
      <c r="B54" s="210"/>
      <c r="C54" s="471"/>
      <c r="D54" s="485">
        <v>0</v>
      </c>
      <c r="E54" s="485">
        <v>0</v>
      </c>
      <c r="F54" s="485">
        <v>0</v>
      </c>
      <c r="G54" s="485">
        <v>0</v>
      </c>
      <c r="H54" s="485">
        <v>0</v>
      </c>
      <c r="I54" s="226">
        <v>0</v>
      </c>
      <c r="J54" s="384"/>
      <c r="K54" s="225"/>
      <c r="L54" s="485">
        <v>0</v>
      </c>
      <c r="M54" s="485">
        <v>0</v>
      </c>
      <c r="N54" s="485">
        <v>0</v>
      </c>
      <c r="O54" s="485">
        <v>0</v>
      </c>
      <c r="P54" s="485">
        <v>0</v>
      </c>
      <c r="Q54" s="226">
        <v>0</v>
      </c>
      <c r="R54" s="384"/>
      <c r="S54" s="485"/>
      <c r="T54" s="226"/>
      <c r="U54" s="474"/>
      <c r="V54" s="474"/>
      <c r="W54" s="474"/>
    </row>
    <row r="55" spans="6:11" ht="12.75">
      <c r="F55" s="314"/>
      <c r="G55" s="314"/>
      <c r="H55" s="314"/>
      <c r="I55" s="314"/>
      <c r="J55" s="314"/>
      <c r="K55" s="314"/>
    </row>
    <row r="56" spans="1:11" ht="12.75">
      <c r="A56" s="1195" t="s">
        <v>152</v>
      </c>
      <c r="B56" s="1195"/>
      <c r="C56" s="1195"/>
      <c r="D56" s="1195"/>
      <c r="E56" s="296"/>
      <c r="F56" s="714"/>
      <c r="G56" s="714"/>
      <c r="H56" s="714"/>
      <c r="I56" s="714"/>
      <c r="J56" s="296"/>
      <c r="K56" s="296"/>
    </row>
    <row r="57" spans="1:3" ht="12.75">
      <c r="A57" s="1195"/>
      <c r="B57" s="1195"/>
      <c r="C57" s="1195"/>
    </row>
    <row r="58" spans="4:11" ht="12.75">
      <c r="D58" s="314">
        <v>0</v>
      </c>
      <c r="E58" s="314"/>
      <c r="F58" s="314"/>
      <c r="G58" s="314"/>
      <c r="H58" s="314"/>
      <c r="I58" s="314"/>
      <c r="J58" s="314"/>
      <c r="K58" s="314"/>
    </row>
  </sheetData>
  <sheetProtection/>
  <mergeCells count="8">
    <mergeCell ref="L1:V1"/>
    <mergeCell ref="S5:W5"/>
    <mergeCell ref="A3:S3"/>
    <mergeCell ref="A57:C57"/>
    <mergeCell ref="A56:D56"/>
    <mergeCell ref="A6:B6"/>
    <mergeCell ref="D5:K5"/>
    <mergeCell ref="L5:R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Y18"/>
  <sheetViews>
    <sheetView zoomScalePageLayoutView="0" workbookViewId="0" topLeftCell="A1">
      <selection activeCell="D2" sqref="D2:E2"/>
    </sheetView>
  </sheetViews>
  <sheetFormatPr defaultColWidth="9.140625" defaultRowHeight="12.75"/>
  <cols>
    <col min="1" max="1" width="48.28125" style="37" customWidth="1"/>
    <col min="2" max="3" width="14.8515625" style="22" customWidth="1"/>
    <col min="4" max="4" width="20.57421875" style="22" customWidth="1"/>
    <col min="5" max="7" width="14.8515625" style="22" customWidth="1"/>
    <col min="8" max="8" width="20.421875" style="22" customWidth="1"/>
    <col min="9" max="9" width="14.8515625" style="22" customWidth="1"/>
    <col min="10" max="10" width="18.421875" style="22" hidden="1" customWidth="1"/>
    <col min="11" max="11" width="9.28125" style="22" hidden="1" customWidth="1"/>
    <col min="12" max="13" width="10.57421875" style="22" hidden="1" customWidth="1"/>
    <col min="14" max="14" width="14.7109375" style="22" hidden="1" customWidth="1"/>
    <col min="15" max="17" width="10.421875" style="22" hidden="1" customWidth="1"/>
    <col min="18" max="18" width="14.57421875" style="22" hidden="1" customWidth="1"/>
    <col min="19" max="19" width="11.00390625" style="22" hidden="1" customWidth="1"/>
    <col min="20" max="21" width="10.421875" style="22" hidden="1" customWidth="1"/>
    <col min="22" max="23" width="9.28125" style="22" hidden="1" customWidth="1"/>
    <col min="24" max="25" width="17.421875" style="22" hidden="1" customWidth="1"/>
    <col min="26" max="26" width="19.421875" style="22" hidden="1" customWidth="1"/>
    <col min="27" max="31" width="9.140625" style="22" hidden="1" customWidth="1"/>
    <col min="32" max="32" width="12.57421875" style="22" hidden="1" customWidth="1"/>
    <col min="33" max="34" width="17.140625" style="22" hidden="1" customWidth="1"/>
    <col min="35" max="35" width="13.8515625" style="22" hidden="1" customWidth="1"/>
    <col min="36" max="36" width="14.57421875" style="22" hidden="1" customWidth="1"/>
    <col min="37" max="38" width="16.140625" style="22" hidden="1" customWidth="1"/>
    <col min="39" max="39" width="14.140625" style="22" hidden="1" customWidth="1"/>
    <col min="40" max="42" width="9.140625" style="22" hidden="1" customWidth="1"/>
    <col min="43" max="43" width="11.28125" style="22" hidden="1" customWidth="1"/>
    <col min="44" max="44" width="15.28125" style="22" hidden="1" customWidth="1"/>
    <col min="45" max="45" width="15.140625" style="22" hidden="1" customWidth="1"/>
    <col min="46" max="46" width="21.140625" style="22" hidden="1" customWidth="1"/>
    <col min="47" max="47" width="13.421875" style="22" hidden="1" customWidth="1"/>
    <col min="48" max="48" width="11.8515625" style="22" hidden="1" customWidth="1"/>
    <col min="49" max="49" width="14.8515625" style="22" hidden="1" customWidth="1"/>
    <col min="50" max="50" width="20.7109375" style="22" hidden="1" customWidth="1"/>
    <col min="51" max="51" width="11.57421875" style="22" hidden="1" customWidth="1"/>
    <col min="52" max="16384" width="9.140625" style="22" customWidth="1"/>
  </cols>
  <sheetData>
    <row r="2" spans="4:9" ht="12.75">
      <c r="D2" s="1215" t="s">
        <v>197</v>
      </c>
      <c r="E2" s="1215"/>
      <c r="F2" s="364"/>
      <c r="G2" s="364"/>
      <c r="H2" s="364"/>
      <c r="I2" s="364"/>
    </row>
    <row r="4" spans="1:9" ht="19.5">
      <c r="A4" s="1216" t="s">
        <v>526</v>
      </c>
      <c r="B4" s="1216"/>
      <c r="C4" s="1216"/>
      <c r="D4" s="1216"/>
      <c r="E4" s="1216"/>
      <c r="F4" s="365"/>
      <c r="G4" s="365"/>
      <c r="H4" s="365"/>
      <c r="I4" s="365"/>
    </row>
    <row r="5" spans="1:9" ht="19.5">
      <c r="A5" s="365"/>
      <c r="B5" s="365"/>
      <c r="C5" s="365"/>
      <c r="D5" s="365"/>
      <c r="E5" s="365"/>
      <c r="F5" s="365"/>
      <c r="G5" s="365"/>
      <c r="H5" s="365"/>
      <c r="I5" s="365"/>
    </row>
    <row r="6" spans="2:11" ht="20.25" customHeight="1" thickBot="1">
      <c r="B6" s="1217" t="s">
        <v>5</v>
      </c>
      <c r="C6" s="1217"/>
      <c r="D6" s="1217"/>
      <c r="E6" s="1217"/>
      <c r="F6" s="1217"/>
      <c r="G6" s="1217"/>
      <c r="H6" s="1217"/>
      <c r="I6" s="1217"/>
      <c r="J6" s="1210" t="s">
        <v>237</v>
      </c>
      <c r="K6" s="1210"/>
    </row>
    <row r="7" spans="1:51" ht="36.75" customHeight="1">
      <c r="A7" s="1211" t="s">
        <v>4</v>
      </c>
      <c r="B7" s="1204" t="s">
        <v>527</v>
      </c>
      <c r="C7" s="1205"/>
      <c r="D7" s="1205"/>
      <c r="E7" s="1206"/>
      <c r="F7" s="1218" t="s">
        <v>610</v>
      </c>
      <c r="G7" s="1205"/>
      <c r="H7" s="1205"/>
      <c r="I7" s="1206"/>
      <c r="J7" s="1213" t="s">
        <v>242</v>
      </c>
      <c r="K7" s="1214"/>
      <c r="L7" s="1204" t="s">
        <v>437</v>
      </c>
      <c r="M7" s="1205"/>
      <c r="N7" s="1205"/>
      <c r="O7" s="1206"/>
      <c r="P7" s="1204" t="s">
        <v>237</v>
      </c>
      <c r="Q7" s="1205"/>
      <c r="R7" s="1205"/>
      <c r="S7" s="1206"/>
      <c r="T7" s="1204" t="s">
        <v>436</v>
      </c>
      <c r="U7" s="1205"/>
      <c r="V7" s="1205"/>
      <c r="W7" s="1206"/>
      <c r="X7" s="1204" t="s">
        <v>446</v>
      </c>
      <c r="Y7" s="1205"/>
      <c r="Z7" s="1205"/>
      <c r="AA7" s="1206"/>
      <c r="AB7" s="1204" t="s">
        <v>447</v>
      </c>
      <c r="AC7" s="1205"/>
      <c r="AD7" s="1205"/>
      <c r="AE7" s="1206"/>
      <c r="AF7" s="1204" t="s">
        <v>454</v>
      </c>
      <c r="AG7" s="1205"/>
      <c r="AH7" s="1205"/>
      <c r="AI7" s="1206"/>
      <c r="AJ7" s="1204" t="s">
        <v>479</v>
      </c>
      <c r="AK7" s="1205"/>
      <c r="AL7" s="1205"/>
      <c r="AM7" s="1206"/>
      <c r="AN7" s="1204" t="s">
        <v>482</v>
      </c>
      <c r="AO7" s="1205"/>
      <c r="AP7" s="1205"/>
      <c r="AQ7" s="1206"/>
      <c r="AR7" s="1204" t="s">
        <v>501</v>
      </c>
      <c r="AS7" s="1205"/>
      <c r="AT7" s="1205"/>
      <c r="AU7" s="1206"/>
      <c r="AV7" s="1204" t="s">
        <v>521</v>
      </c>
      <c r="AW7" s="1205"/>
      <c r="AX7" s="1205"/>
      <c r="AY7" s="1206"/>
    </row>
    <row r="8" spans="1:51" ht="41.25" customHeight="1" thickBot="1">
      <c r="A8" s="1212"/>
      <c r="B8" s="24" t="s">
        <v>29</v>
      </c>
      <c r="C8" s="24" t="s">
        <v>204</v>
      </c>
      <c r="D8" s="24" t="s">
        <v>205</v>
      </c>
      <c r="E8" s="25" t="s">
        <v>1</v>
      </c>
      <c r="F8" s="528" t="s">
        <v>29</v>
      </c>
      <c r="G8" s="24" t="s">
        <v>204</v>
      </c>
      <c r="H8" s="24" t="s">
        <v>205</v>
      </c>
      <c r="I8" s="25" t="s">
        <v>1</v>
      </c>
      <c r="J8" s="377" t="s">
        <v>237</v>
      </c>
      <c r="K8" s="378" t="s">
        <v>238</v>
      </c>
      <c r="L8" s="24" t="s">
        <v>29</v>
      </c>
      <c r="M8" s="24" t="s">
        <v>204</v>
      </c>
      <c r="N8" s="24" t="s">
        <v>205</v>
      </c>
      <c r="O8" s="25" t="s">
        <v>1</v>
      </c>
      <c r="P8" s="24" t="s">
        <v>29</v>
      </c>
      <c r="Q8" s="24" t="s">
        <v>204</v>
      </c>
      <c r="R8" s="24" t="s">
        <v>205</v>
      </c>
      <c r="S8" s="25" t="s">
        <v>1</v>
      </c>
      <c r="T8" s="24" t="s">
        <v>29</v>
      </c>
      <c r="U8" s="24" t="s">
        <v>204</v>
      </c>
      <c r="V8" s="24" t="s">
        <v>205</v>
      </c>
      <c r="W8" s="25" t="s">
        <v>1</v>
      </c>
      <c r="X8" s="24" t="s">
        <v>29</v>
      </c>
      <c r="Y8" s="24" t="s">
        <v>204</v>
      </c>
      <c r="Z8" s="24" t="s">
        <v>205</v>
      </c>
      <c r="AA8" s="25" t="s">
        <v>1</v>
      </c>
      <c r="AB8" s="24" t="s">
        <v>29</v>
      </c>
      <c r="AC8" s="24" t="s">
        <v>204</v>
      </c>
      <c r="AD8" s="24" t="s">
        <v>205</v>
      </c>
      <c r="AE8" s="25" t="s">
        <v>1</v>
      </c>
      <c r="AF8" s="24" t="s">
        <v>29</v>
      </c>
      <c r="AG8" s="24" t="s">
        <v>204</v>
      </c>
      <c r="AH8" s="24" t="s">
        <v>205</v>
      </c>
      <c r="AI8" s="25" t="s">
        <v>1</v>
      </c>
      <c r="AJ8" s="24" t="s">
        <v>29</v>
      </c>
      <c r="AK8" s="24" t="s">
        <v>204</v>
      </c>
      <c r="AL8" s="24" t="s">
        <v>205</v>
      </c>
      <c r="AM8" s="25" t="s">
        <v>1</v>
      </c>
      <c r="AN8" s="24" t="s">
        <v>29</v>
      </c>
      <c r="AO8" s="24" t="s">
        <v>204</v>
      </c>
      <c r="AP8" s="24" t="s">
        <v>205</v>
      </c>
      <c r="AQ8" s="25" t="s">
        <v>1</v>
      </c>
      <c r="AR8" s="24" t="s">
        <v>29</v>
      </c>
      <c r="AS8" s="24" t="s">
        <v>204</v>
      </c>
      <c r="AT8" s="24" t="s">
        <v>205</v>
      </c>
      <c r="AU8" s="25" t="s">
        <v>1</v>
      </c>
      <c r="AV8" s="24" t="s">
        <v>29</v>
      </c>
      <c r="AW8" s="24" t="s">
        <v>204</v>
      </c>
      <c r="AX8" s="24" t="s">
        <v>205</v>
      </c>
      <c r="AY8" s="25" t="s">
        <v>1</v>
      </c>
    </row>
    <row r="9" spans="1:51" ht="30" customHeight="1">
      <c r="A9" s="23" t="s">
        <v>213</v>
      </c>
      <c r="B9" s="129">
        <v>17</v>
      </c>
      <c r="C9" s="129">
        <v>1</v>
      </c>
      <c r="D9" s="130">
        <v>1</v>
      </c>
      <c r="E9" s="289">
        <f>SUM(B9:C9)</f>
        <v>18</v>
      </c>
      <c r="F9" s="129">
        <v>16</v>
      </c>
      <c r="G9" s="129">
        <v>1</v>
      </c>
      <c r="H9" s="130">
        <v>1</v>
      </c>
      <c r="I9" s="289">
        <f>SUM(F9:G9)</f>
        <v>17</v>
      </c>
      <c r="J9" s="375"/>
      <c r="K9" s="376">
        <f>J9/E9</f>
        <v>0</v>
      </c>
      <c r="L9" s="129"/>
      <c r="M9" s="129"/>
      <c r="N9" s="130"/>
      <c r="O9" s="289"/>
      <c r="P9" s="129">
        <v>19</v>
      </c>
      <c r="Q9" s="129">
        <v>1.75</v>
      </c>
      <c r="R9" s="130">
        <v>2</v>
      </c>
      <c r="S9" s="289">
        <f>SUM(P9:Q9)</f>
        <v>20.75</v>
      </c>
      <c r="T9" s="129"/>
      <c r="U9" s="129"/>
      <c r="V9" s="130"/>
      <c r="W9" s="289">
        <f>SUM(T9:U9)</f>
        <v>0</v>
      </c>
      <c r="X9" s="129"/>
      <c r="Y9" s="129"/>
      <c r="Z9" s="130"/>
      <c r="AA9" s="289">
        <f>SUM(X9:Y9)</f>
        <v>0</v>
      </c>
      <c r="AB9" s="129">
        <v>18</v>
      </c>
      <c r="AC9" s="129">
        <v>1</v>
      </c>
      <c r="AD9" s="130">
        <v>2</v>
      </c>
      <c r="AE9" s="289">
        <f>SUM(AB9:AC9)</f>
        <v>19</v>
      </c>
      <c r="AF9" s="129"/>
      <c r="AG9" s="129"/>
      <c r="AH9" s="130"/>
      <c r="AI9" s="289">
        <f>SUM(AF9:AG9)</f>
        <v>0</v>
      </c>
      <c r="AJ9" s="129">
        <v>19</v>
      </c>
      <c r="AK9" s="129">
        <v>1</v>
      </c>
      <c r="AL9" s="130">
        <v>2</v>
      </c>
      <c r="AM9" s="289">
        <f>SUM(AJ9:AK9)</f>
        <v>20</v>
      </c>
      <c r="AN9" s="129">
        <v>19</v>
      </c>
      <c r="AO9" s="129">
        <v>1</v>
      </c>
      <c r="AP9" s="130">
        <v>2</v>
      </c>
      <c r="AQ9" s="289">
        <f>SUM(AN9:AO9)</f>
        <v>20</v>
      </c>
      <c r="AR9" s="129"/>
      <c r="AS9" s="129"/>
      <c r="AT9" s="130"/>
      <c r="AU9" s="916"/>
      <c r="AV9" s="129"/>
      <c r="AW9" s="129"/>
      <c r="AX9" s="130"/>
      <c r="AY9" s="916"/>
    </row>
    <row r="10" spans="1:51" ht="30" customHeight="1">
      <c r="A10" s="23" t="s">
        <v>214</v>
      </c>
      <c r="B10" s="129">
        <v>3</v>
      </c>
      <c r="C10" s="129">
        <v>4.5</v>
      </c>
      <c r="D10" s="129">
        <v>0</v>
      </c>
      <c r="E10" s="289">
        <f>SUM(B10:C10)</f>
        <v>7.5</v>
      </c>
      <c r="F10" s="129">
        <v>3</v>
      </c>
      <c r="G10" s="129">
        <v>3.5</v>
      </c>
      <c r="H10" s="129">
        <v>0</v>
      </c>
      <c r="I10" s="289">
        <f>SUM(F10:G10)</f>
        <v>6.5</v>
      </c>
      <c r="J10" s="373"/>
      <c r="K10" s="374">
        <f>J10/E10</f>
        <v>0</v>
      </c>
      <c r="L10" s="129"/>
      <c r="M10" s="129"/>
      <c r="N10" s="129"/>
      <c r="O10" s="289"/>
      <c r="P10" s="129">
        <v>3</v>
      </c>
      <c r="Q10" s="129">
        <v>6.5</v>
      </c>
      <c r="R10" s="129">
        <v>0</v>
      </c>
      <c r="S10" s="289">
        <f>SUM(P10:Q10)</f>
        <v>9.5</v>
      </c>
      <c r="T10" s="129"/>
      <c r="U10" s="129"/>
      <c r="V10" s="129"/>
      <c r="W10" s="289">
        <f>SUM(T10:U10)</f>
        <v>0</v>
      </c>
      <c r="X10" s="129"/>
      <c r="Y10" s="129"/>
      <c r="Z10" s="129"/>
      <c r="AA10" s="289">
        <f>SUM(X10:Y10)</f>
        <v>0</v>
      </c>
      <c r="AB10" s="129">
        <v>3</v>
      </c>
      <c r="AC10" s="129">
        <v>4.5</v>
      </c>
      <c r="AD10" s="129">
        <v>0</v>
      </c>
      <c r="AE10" s="289">
        <f>SUM(AB10:AC10)</f>
        <v>7.5</v>
      </c>
      <c r="AF10" s="129"/>
      <c r="AG10" s="129"/>
      <c r="AH10" s="129"/>
      <c r="AI10" s="289">
        <f>SUM(AF10:AG10)</f>
        <v>0</v>
      </c>
      <c r="AJ10" s="129">
        <v>3</v>
      </c>
      <c r="AK10" s="129">
        <v>4.5</v>
      </c>
      <c r="AL10" s="129">
        <v>0</v>
      </c>
      <c r="AM10" s="289">
        <f>SUM(AJ10:AK10)</f>
        <v>7.5</v>
      </c>
      <c r="AN10" s="129">
        <v>3</v>
      </c>
      <c r="AO10" s="129">
        <v>4.5</v>
      </c>
      <c r="AP10" s="129">
        <v>0</v>
      </c>
      <c r="AQ10" s="289">
        <f>SUM(AN10:AO10)</f>
        <v>7.5</v>
      </c>
      <c r="AR10" s="129"/>
      <c r="AS10" s="129"/>
      <c r="AT10" s="129"/>
      <c r="AU10" s="916"/>
      <c r="AV10" s="129"/>
      <c r="AW10" s="129"/>
      <c r="AX10" s="129"/>
      <c r="AY10" s="916"/>
    </row>
    <row r="11" spans="1:51" ht="30" customHeight="1" thickBot="1">
      <c r="A11" s="128" t="s">
        <v>215</v>
      </c>
      <c r="B11" s="131">
        <v>14</v>
      </c>
      <c r="C11" s="131">
        <v>8</v>
      </c>
      <c r="D11" s="131">
        <v>3</v>
      </c>
      <c r="E11" s="289">
        <f>SUM(B11:C11)</f>
        <v>22</v>
      </c>
      <c r="F11" s="131">
        <v>14</v>
      </c>
      <c r="G11" s="131">
        <v>8</v>
      </c>
      <c r="H11" s="131">
        <v>3</v>
      </c>
      <c r="I11" s="289">
        <f>SUM(F11:G11)</f>
        <v>22</v>
      </c>
      <c r="J11" s="379"/>
      <c r="K11" s="380">
        <f>J11/E11</f>
        <v>0</v>
      </c>
      <c r="L11" s="131"/>
      <c r="M11" s="131"/>
      <c r="N11" s="131"/>
      <c r="O11" s="289"/>
      <c r="P11" s="131">
        <v>15</v>
      </c>
      <c r="Q11" s="131">
        <v>12</v>
      </c>
      <c r="R11" s="131">
        <v>3</v>
      </c>
      <c r="S11" s="289">
        <f>SUM(P11:Q11)</f>
        <v>27</v>
      </c>
      <c r="T11" s="131"/>
      <c r="U11" s="131"/>
      <c r="V11" s="131"/>
      <c r="W11" s="289">
        <f>SUM(T11:U11)</f>
        <v>0</v>
      </c>
      <c r="X11" s="131"/>
      <c r="Y11" s="131"/>
      <c r="Z11" s="131"/>
      <c r="AA11" s="289">
        <f>SUM(X11:Y11)</f>
        <v>0</v>
      </c>
      <c r="AB11" s="131">
        <v>15</v>
      </c>
      <c r="AC11" s="131">
        <v>10</v>
      </c>
      <c r="AD11" s="131">
        <v>3</v>
      </c>
      <c r="AE11" s="289">
        <f>SUM(AB11:AC11)</f>
        <v>25</v>
      </c>
      <c r="AF11" s="131"/>
      <c r="AG11" s="131"/>
      <c r="AH11" s="131"/>
      <c r="AI11" s="289">
        <f>SUM(AF11:AG11)</f>
        <v>0</v>
      </c>
      <c r="AJ11" s="131">
        <v>14</v>
      </c>
      <c r="AK11" s="131">
        <v>8</v>
      </c>
      <c r="AL11" s="131">
        <v>3</v>
      </c>
      <c r="AM11" s="289">
        <f>SUM(AJ11:AK11)</f>
        <v>22</v>
      </c>
      <c r="AN11" s="131">
        <v>14</v>
      </c>
      <c r="AO11" s="131">
        <v>9</v>
      </c>
      <c r="AP11" s="131">
        <v>3</v>
      </c>
      <c r="AQ11" s="289">
        <f>SUM(AN11:AO11)</f>
        <v>23</v>
      </c>
      <c r="AR11" s="131"/>
      <c r="AS11" s="131"/>
      <c r="AT11" s="131"/>
      <c r="AU11" s="916"/>
      <c r="AV11" s="131"/>
      <c r="AW11" s="131"/>
      <c r="AX11" s="131"/>
      <c r="AY11" s="916"/>
    </row>
    <row r="12" spans="1:51" ht="54.75" customHeight="1" thickBot="1">
      <c r="A12" s="127" t="s">
        <v>25</v>
      </c>
      <c r="B12" s="248">
        <f aca="true" t="shared" si="0" ref="B12:J12">SUM(B9:B11)</f>
        <v>34</v>
      </c>
      <c r="C12" s="248">
        <f t="shared" si="0"/>
        <v>13.5</v>
      </c>
      <c r="D12" s="248">
        <f t="shared" si="0"/>
        <v>4</v>
      </c>
      <c r="E12" s="290">
        <f t="shared" si="0"/>
        <v>47.5</v>
      </c>
      <c r="F12" s="248">
        <f>SUM(F9:F11)</f>
        <v>33</v>
      </c>
      <c r="G12" s="248">
        <f>SUM(G9:G11)</f>
        <v>12.5</v>
      </c>
      <c r="H12" s="248">
        <f>SUM(H9:H11)</f>
        <v>4</v>
      </c>
      <c r="I12" s="290">
        <f>SUM(I9:I11)</f>
        <v>45.5</v>
      </c>
      <c r="J12" s="381">
        <f t="shared" si="0"/>
        <v>0</v>
      </c>
      <c r="K12" s="382">
        <f>J12/E12</f>
        <v>0</v>
      </c>
      <c r="L12" s="248">
        <f aca="true" t="shared" si="1" ref="L12:AA12">SUM(L9:L11)</f>
        <v>0</v>
      </c>
      <c r="M12" s="248">
        <f t="shared" si="1"/>
        <v>0</v>
      </c>
      <c r="N12" s="248">
        <f t="shared" si="1"/>
        <v>0</v>
      </c>
      <c r="O12" s="290">
        <f t="shared" si="1"/>
        <v>0</v>
      </c>
      <c r="P12" s="248">
        <f t="shared" si="1"/>
        <v>37</v>
      </c>
      <c r="Q12" s="248">
        <f t="shared" si="1"/>
        <v>20.25</v>
      </c>
      <c r="R12" s="248">
        <f t="shared" si="1"/>
        <v>5</v>
      </c>
      <c r="S12" s="290">
        <f t="shared" si="1"/>
        <v>57.25</v>
      </c>
      <c r="T12" s="248">
        <f t="shared" si="1"/>
        <v>0</v>
      </c>
      <c r="U12" s="248">
        <f t="shared" si="1"/>
        <v>0</v>
      </c>
      <c r="V12" s="248">
        <f t="shared" si="1"/>
        <v>0</v>
      </c>
      <c r="W12" s="290">
        <f t="shared" si="1"/>
        <v>0</v>
      </c>
      <c r="X12" s="248">
        <f t="shared" si="1"/>
        <v>0</v>
      </c>
      <c r="Y12" s="248">
        <f t="shared" si="1"/>
        <v>0</v>
      </c>
      <c r="Z12" s="248">
        <f t="shared" si="1"/>
        <v>0</v>
      </c>
      <c r="AA12" s="290">
        <f t="shared" si="1"/>
        <v>0</v>
      </c>
      <c r="AB12" s="248">
        <f aca="true" t="shared" si="2" ref="AB12:AM12">SUM(AB9:AB11)</f>
        <v>36</v>
      </c>
      <c r="AC12" s="248">
        <f t="shared" si="2"/>
        <v>15.5</v>
      </c>
      <c r="AD12" s="248">
        <f t="shared" si="2"/>
        <v>5</v>
      </c>
      <c r="AE12" s="290">
        <f t="shared" si="2"/>
        <v>51.5</v>
      </c>
      <c r="AF12" s="248">
        <f t="shared" si="2"/>
        <v>0</v>
      </c>
      <c r="AG12" s="248">
        <f t="shared" si="2"/>
        <v>0</v>
      </c>
      <c r="AH12" s="248">
        <f t="shared" si="2"/>
        <v>0</v>
      </c>
      <c r="AI12" s="290">
        <f t="shared" si="2"/>
        <v>0</v>
      </c>
      <c r="AJ12" s="248">
        <f t="shared" si="2"/>
        <v>36</v>
      </c>
      <c r="AK12" s="248">
        <f t="shared" si="2"/>
        <v>13.5</v>
      </c>
      <c r="AL12" s="248">
        <f t="shared" si="2"/>
        <v>5</v>
      </c>
      <c r="AM12" s="290">
        <f t="shared" si="2"/>
        <v>49.5</v>
      </c>
      <c r="AN12" s="248">
        <f aca="true" t="shared" si="3" ref="AN12:AU12">SUM(AN9:AN11)</f>
        <v>36</v>
      </c>
      <c r="AO12" s="248">
        <f t="shared" si="3"/>
        <v>14.5</v>
      </c>
      <c r="AP12" s="248">
        <f t="shared" si="3"/>
        <v>5</v>
      </c>
      <c r="AQ12" s="290">
        <f t="shared" si="3"/>
        <v>50.5</v>
      </c>
      <c r="AR12" s="248">
        <f t="shared" si="3"/>
        <v>0</v>
      </c>
      <c r="AS12" s="248">
        <f t="shared" si="3"/>
        <v>0</v>
      </c>
      <c r="AT12" s="248">
        <f t="shared" si="3"/>
        <v>0</v>
      </c>
      <c r="AU12" s="917">
        <f t="shared" si="3"/>
        <v>0</v>
      </c>
      <c r="AV12" s="248">
        <f>SUM(AV9:AV11)</f>
        <v>0</v>
      </c>
      <c r="AW12" s="248">
        <f>SUM(AW9:AW11)</f>
        <v>0</v>
      </c>
      <c r="AX12" s="248">
        <f>SUM(AX9:AX11)</f>
        <v>0</v>
      </c>
      <c r="AY12" s="917">
        <f>SUM(AY9:AY11)</f>
        <v>0</v>
      </c>
    </row>
    <row r="13" ht="13.5" thickBot="1">
      <c r="K13" s="372"/>
    </row>
    <row r="14" spans="1:51" ht="30.75" customHeight="1" thickBot="1">
      <c r="A14" s="1219" t="s">
        <v>52</v>
      </c>
      <c r="B14" s="1220"/>
      <c r="C14" s="1220"/>
      <c r="D14" s="1221"/>
      <c r="E14" s="291">
        <v>11</v>
      </c>
      <c r="F14" s="1207"/>
      <c r="G14" s="1208"/>
      <c r="H14" s="1209"/>
      <c r="I14" s="291">
        <v>11</v>
      </c>
      <c r="J14" s="291">
        <v>27</v>
      </c>
      <c r="K14" s="291">
        <v>27</v>
      </c>
      <c r="L14" s="1207"/>
      <c r="M14" s="1208"/>
      <c r="N14" s="1209"/>
      <c r="O14" s="291"/>
      <c r="P14" s="1207"/>
      <c r="Q14" s="1208"/>
      <c r="R14" s="1209"/>
      <c r="S14" s="291">
        <v>15</v>
      </c>
      <c r="T14" s="1207"/>
      <c r="U14" s="1208"/>
      <c r="V14" s="1209"/>
      <c r="W14" s="291"/>
      <c r="X14" s="1207"/>
      <c r="Y14" s="1208"/>
      <c r="Z14" s="1209"/>
      <c r="AA14" s="291"/>
      <c r="AB14" s="1207"/>
      <c r="AC14" s="1208"/>
      <c r="AD14" s="1209"/>
      <c r="AE14" s="291">
        <v>11</v>
      </c>
      <c r="AF14" s="1207"/>
      <c r="AG14" s="1208"/>
      <c r="AH14" s="1209"/>
      <c r="AI14" s="291"/>
      <c r="AJ14" s="1207"/>
      <c r="AK14" s="1208"/>
      <c r="AL14" s="1209"/>
      <c r="AM14" s="291">
        <v>17</v>
      </c>
      <c r="AN14" s="1207"/>
      <c r="AO14" s="1208"/>
      <c r="AP14" s="1209"/>
      <c r="AQ14" s="291">
        <v>17</v>
      </c>
      <c r="AR14" s="1207"/>
      <c r="AS14" s="1208"/>
      <c r="AT14" s="1209"/>
      <c r="AU14" s="291"/>
      <c r="AV14" s="1207"/>
      <c r="AW14" s="1208"/>
      <c r="AX14" s="1209"/>
      <c r="AY14" s="291"/>
    </row>
    <row r="16" ht="12.75">
      <c r="A16" s="37" t="s">
        <v>106</v>
      </c>
    </row>
    <row r="18" spans="5:9" ht="12.75">
      <c r="E18" s="288"/>
      <c r="F18" s="288"/>
      <c r="G18" s="288"/>
      <c r="H18" s="288"/>
      <c r="I18" s="288"/>
    </row>
  </sheetData>
  <sheetProtection/>
  <mergeCells count="30">
    <mergeCell ref="AV7:AY7"/>
    <mergeCell ref="AV14:AX14"/>
    <mergeCell ref="AR7:AU7"/>
    <mergeCell ref="AR14:AT14"/>
    <mergeCell ref="AN7:AQ7"/>
    <mergeCell ref="AN14:AP14"/>
    <mergeCell ref="D2:E2"/>
    <mergeCell ref="B7:E7"/>
    <mergeCell ref="A4:E4"/>
    <mergeCell ref="B6:I6"/>
    <mergeCell ref="F7:I7"/>
    <mergeCell ref="A14:D14"/>
    <mergeCell ref="F14:H14"/>
    <mergeCell ref="J6:K6"/>
    <mergeCell ref="L7:O7"/>
    <mergeCell ref="A7:A8"/>
    <mergeCell ref="J7:K7"/>
    <mergeCell ref="AB14:AD14"/>
    <mergeCell ref="X7:AA7"/>
    <mergeCell ref="X14:Z14"/>
    <mergeCell ref="L14:N14"/>
    <mergeCell ref="P14:R14"/>
    <mergeCell ref="P7:S7"/>
    <mergeCell ref="AJ7:AM7"/>
    <mergeCell ref="AJ14:AL14"/>
    <mergeCell ref="AF7:AI7"/>
    <mergeCell ref="AF14:AH14"/>
    <mergeCell ref="T7:W7"/>
    <mergeCell ref="T14:V14"/>
    <mergeCell ref="AB7:AE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view="pageLayout" zoomScaleNormal="70" workbookViewId="0" topLeftCell="B1">
      <selection activeCell="P6" sqref="P6"/>
    </sheetView>
  </sheetViews>
  <sheetFormatPr defaultColWidth="9.140625" defaultRowHeight="12.75"/>
  <cols>
    <col min="1" max="1" width="9.140625" style="1076" customWidth="1"/>
    <col min="2" max="2" width="54.28125" style="1076" customWidth="1"/>
    <col min="3" max="3" width="5.57421875" style="1095" customWidth="1"/>
    <col min="4" max="4" width="17.421875" style="1093" customWidth="1"/>
    <col min="5" max="8" width="14.140625" style="1093" hidden="1" customWidth="1"/>
    <col min="9" max="9" width="14.140625" style="1093" customWidth="1"/>
    <col min="10" max="10" width="20.8515625" style="1093" hidden="1" customWidth="1"/>
    <col min="11" max="11" width="20.28125" style="1076" customWidth="1"/>
    <col min="12" max="15" width="15.28125" style="1076" hidden="1" customWidth="1"/>
    <col min="16" max="16" width="15.28125" style="1076" customWidth="1"/>
    <col min="17" max="17" width="15.28125" style="1076" hidden="1" customWidth="1"/>
    <col min="18" max="18" width="18.28125" style="1076" customWidth="1"/>
    <col min="19" max="19" width="13.28125" style="1076" hidden="1" customWidth="1"/>
    <col min="20" max="20" width="14.7109375" style="1076" hidden="1" customWidth="1"/>
    <col min="21" max="21" width="17.421875" style="1076" hidden="1" customWidth="1"/>
    <col min="22" max="22" width="14.8515625" style="1076" hidden="1" customWidth="1"/>
    <col min="23" max="23" width="17.00390625" style="1076" customWidth="1"/>
    <col min="24" max="24" width="3.8515625" style="1076" hidden="1" customWidth="1"/>
    <col min="25" max="25" width="9.140625" style="1076" customWidth="1"/>
    <col min="26" max="16384" width="9.140625" style="1076" customWidth="1"/>
  </cols>
  <sheetData>
    <row r="1" spans="1:19" ht="15.75">
      <c r="A1" s="1230" t="s">
        <v>59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M1" s="1230"/>
      <c r="N1" s="1230"/>
      <c r="O1" s="1230"/>
      <c r="P1" s="1230"/>
      <c r="Q1" s="1230"/>
      <c r="R1" s="1230"/>
      <c r="S1" s="1075"/>
    </row>
    <row r="2" spans="1:19" ht="16.5" thickBot="1">
      <c r="A2" s="1077"/>
      <c r="B2" s="1075"/>
      <c r="C2" s="1075"/>
      <c r="D2" s="1078"/>
      <c r="E2" s="1078"/>
      <c r="F2" s="1078"/>
      <c r="G2" s="1078"/>
      <c r="H2" s="1078"/>
      <c r="I2" s="1078"/>
      <c r="J2" s="1078"/>
      <c r="K2" s="1075"/>
      <c r="L2" s="1075"/>
      <c r="M2" s="1075"/>
      <c r="N2" s="1075"/>
      <c r="O2" s="1075"/>
      <c r="P2" s="1075"/>
      <c r="Q2" s="1075"/>
      <c r="R2" s="1075" t="s">
        <v>461</v>
      </c>
      <c r="S2" s="1075"/>
    </row>
    <row r="3" spans="1:24" s="1082" customFormat="1" ht="31.5" customHeight="1" thickBot="1">
      <c r="A3" s="1079" t="s">
        <v>6</v>
      </c>
      <c r="B3" s="1080" t="s">
        <v>35</v>
      </c>
      <c r="C3" s="1081" t="s">
        <v>270</v>
      </c>
      <c r="D3" s="1222" t="s">
        <v>5</v>
      </c>
      <c r="E3" s="1223"/>
      <c r="F3" s="1223"/>
      <c r="G3" s="1223"/>
      <c r="H3" s="1223"/>
      <c r="I3" s="1223"/>
      <c r="J3" s="1224"/>
      <c r="K3" s="1225" t="s">
        <v>271</v>
      </c>
      <c r="L3" s="1226"/>
      <c r="M3" s="1226"/>
      <c r="N3" s="1226"/>
      <c r="O3" s="1226"/>
      <c r="P3" s="1226"/>
      <c r="Q3" s="1227"/>
      <c r="R3" s="1225" t="s">
        <v>26</v>
      </c>
      <c r="S3" s="1226"/>
      <c r="T3" s="1226"/>
      <c r="U3" s="1226"/>
      <c r="V3" s="1226"/>
      <c r="W3" s="1226"/>
      <c r="X3" s="1227"/>
    </row>
    <row r="4" spans="1:24" s="1082" customFormat="1" ht="31.5" customHeight="1">
      <c r="A4" s="1083"/>
      <c r="B4" s="1084"/>
      <c r="C4" s="1085"/>
      <c r="D4" s="1086" t="s">
        <v>65</v>
      </c>
      <c r="E4" s="1087" t="s">
        <v>229</v>
      </c>
      <c r="F4" s="1087" t="s">
        <v>232</v>
      </c>
      <c r="G4" s="1088" t="s">
        <v>234</v>
      </c>
      <c r="H4" s="1088" t="s">
        <v>248</v>
      </c>
      <c r="I4" s="1088" t="s">
        <v>253</v>
      </c>
      <c r="J4" s="1089" t="s">
        <v>237</v>
      </c>
      <c r="K4" s="1086" t="s">
        <v>65</v>
      </c>
      <c r="L4" s="1087" t="s">
        <v>229</v>
      </c>
      <c r="M4" s="1087" t="s">
        <v>232</v>
      </c>
      <c r="N4" s="1088" t="s">
        <v>234</v>
      </c>
      <c r="O4" s="1088" t="s">
        <v>248</v>
      </c>
      <c r="P4" s="1088" t="s">
        <v>253</v>
      </c>
      <c r="Q4" s="1089" t="s">
        <v>238</v>
      </c>
      <c r="R4" s="1086" t="s">
        <v>65</v>
      </c>
      <c r="S4" s="1087" t="s">
        <v>229</v>
      </c>
      <c r="T4" s="1087" t="s">
        <v>232</v>
      </c>
      <c r="U4" s="1088" t="s">
        <v>234</v>
      </c>
      <c r="V4" s="1088" t="s">
        <v>248</v>
      </c>
      <c r="W4" s="1088" t="s">
        <v>253</v>
      </c>
      <c r="X4" s="1089" t="s">
        <v>238</v>
      </c>
    </row>
    <row r="5" spans="1:24" ht="29.25" customHeight="1">
      <c r="A5" s="1090">
        <v>1</v>
      </c>
      <c r="B5" s="71" t="s">
        <v>528</v>
      </c>
      <c r="C5" s="529" t="s">
        <v>208</v>
      </c>
      <c r="D5" s="533">
        <v>280000</v>
      </c>
      <c r="E5" s="533">
        <v>280000</v>
      </c>
      <c r="F5" s="533">
        <v>280000</v>
      </c>
      <c r="G5" s="533">
        <v>280000</v>
      </c>
      <c r="H5" s="533">
        <v>280000</v>
      </c>
      <c r="I5" s="534">
        <f>205433+55467</f>
        <v>260900</v>
      </c>
      <c r="J5" s="534">
        <f>205433+55467</f>
        <v>260900</v>
      </c>
      <c r="K5" s="533"/>
      <c r="L5" s="932">
        <v>0</v>
      </c>
      <c r="M5" s="932"/>
      <c r="N5" s="932"/>
      <c r="O5" s="932"/>
      <c r="P5" s="932"/>
      <c r="Q5" s="538"/>
      <c r="R5" s="533">
        <v>280000</v>
      </c>
      <c r="S5" s="533">
        <v>280000</v>
      </c>
      <c r="T5" s="533">
        <v>280000</v>
      </c>
      <c r="U5" s="533">
        <v>280000</v>
      </c>
      <c r="V5" s="533">
        <v>280000</v>
      </c>
      <c r="W5" s="932">
        <f>+I5-P5</f>
        <v>260900</v>
      </c>
      <c r="X5" s="538">
        <f>V5/U5</f>
        <v>1</v>
      </c>
    </row>
    <row r="6" spans="1:24" ht="29.25" customHeight="1">
      <c r="A6" s="1090">
        <v>2</v>
      </c>
      <c r="B6" s="71" t="s">
        <v>607</v>
      </c>
      <c r="C6" s="529" t="s">
        <v>208</v>
      </c>
      <c r="D6" s="534">
        <v>600000</v>
      </c>
      <c r="E6" s="534">
        <v>600000</v>
      </c>
      <c r="F6" s="534">
        <v>600000</v>
      </c>
      <c r="G6" s="534">
        <v>600000</v>
      </c>
      <c r="H6" s="534">
        <v>600000</v>
      </c>
      <c r="I6" s="534">
        <f>205433+55467</f>
        <v>260900</v>
      </c>
      <c r="J6" s="534">
        <f>205433+55467</f>
        <v>260900</v>
      </c>
      <c r="K6" s="539"/>
      <c r="L6" s="929"/>
      <c r="M6" s="929"/>
      <c r="N6" s="929"/>
      <c r="O6" s="929"/>
      <c r="P6" s="929"/>
      <c r="Q6" s="538"/>
      <c r="R6" s="534">
        <v>600000</v>
      </c>
      <c r="S6" s="534">
        <v>600000</v>
      </c>
      <c r="T6" s="534">
        <v>600000</v>
      </c>
      <c r="U6" s="534">
        <v>600000</v>
      </c>
      <c r="V6" s="534">
        <v>600000</v>
      </c>
      <c r="W6" s="932">
        <f aca="true" t="shared" si="0" ref="W6:W22">+I6-P6</f>
        <v>260900</v>
      </c>
      <c r="X6" s="538">
        <f>V6/U6</f>
        <v>1</v>
      </c>
    </row>
    <row r="7" spans="1:24" ht="29.25" customHeight="1">
      <c r="A7" s="1090">
        <v>3</v>
      </c>
      <c r="B7" s="933" t="s">
        <v>529</v>
      </c>
      <c r="C7" s="1091" t="s">
        <v>208</v>
      </c>
      <c r="D7" s="535">
        <v>10000000</v>
      </c>
      <c r="E7" s="535">
        <v>10000000</v>
      </c>
      <c r="F7" s="535">
        <f>10000000+23980</f>
        <v>10023980</v>
      </c>
      <c r="G7" s="535">
        <f>10000000+23980</f>
        <v>10023980</v>
      </c>
      <c r="H7" s="535">
        <f>10000000+23980</f>
        <v>10023980</v>
      </c>
      <c r="I7" s="535">
        <f>10000000+23980-596524</f>
        <v>9427456</v>
      </c>
      <c r="J7" s="535">
        <f>484650+1795000</f>
        <v>2279650</v>
      </c>
      <c r="K7" s="540"/>
      <c r="L7" s="766"/>
      <c r="M7" s="766"/>
      <c r="N7" s="766"/>
      <c r="O7" s="766"/>
      <c r="P7" s="766"/>
      <c r="Q7" s="538"/>
      <c r="R7" s="535">
        <v>10000000</v>
      </c>
      <c r="S7" s="535">
        <v>10000000</v>
      </c>
      <c r="T7" s="535">
        <f>10000000+23980</f>
        <v>10023980</v>
      </c>
      <c r="U7" s="535">
        <f>10000000+23980</f>
        <v>10023980</v>
      </c>
      <c r="V7" s="535">
        <f>10000000+23980</f>
        <v>10023980</v>
      </c>
      <c r="W7" s="932">
        <f t="shared" si="0"/>
        <v>9427456</v>
      </c>
      <c r="X7" s="538">
        <f>V7/U7</f>
        <v>1</v>
      </c>
    </row>
    <row r="8" spans="1:24" ht="29.25" customHeight="1">
      <c r="A8" s="1090">
        <v>4</v>
      </c>
      <c r="B8" s="71" t="s">
        <v>572</v>
      </c>
      <c r="C8" s="1091" t="s">
        <v>208</v>
      </c>
      <c r="D8" s="536">
        <v>396042</v>
      </c>
      <c r="E8" s="536">
        <v>396042</v>
      </c>
      <c r="F8" s="536">
        <v>396042</v>
      </c>
      <c r="G8" s="536">
        <v>396042</v>
      </c>
      <c r="H8" s="536">
        <v>396042</v>
      </c>
      <c r="I8" s="536">
        <v>396042</v>
      </c>
      <c r="J8" s="536">
        <f>84198+262500</f>
        <v>346698</v>
      </c>
      <c r="K8" s="540"/>
      <c r="L8" s="766"/>
      <c r="M8" s="766"/>
      <c r="N8" s="766"/>
      <c r="O8" s="766"/>
      <c r="P8" s="766"/>
      <c r="Q8" s="538"/>
      <c r="R8" s="536">
        <v>396042</v>
      </c>
      <c r="S8" s="536">
        <v>396042</v>
      </c>
      <c r="T8" s="536">
        <v>396042</v>
      </c>
      <c r="U8" s="536">
        <v>396042</v>
      </c>
      <c r="V8" s="536">
        <v>396042</v>
      </c>
      <c r="W8" s="932">
        <f t="shared" si="0"/>
        <v>396042</v>
      </c>
      <c r="X8" s="538">
        <f>V8/U8</f>
        <v>1</v>
      </c>
    </row>
    <row r="9" spans="1:24" ht="29.25" customHeight="1">
      <c r="A9" s="1090">
        <v>5</v>
      </c>
      <c r="B9" s="872" t="s">
        <v>570</v>
      </c>
      <c r="C9" s="1091" t="s">
        <v>208</v>
      </c>
      <c r="D9" s="536"/>
      <c r="E9" s="536">
        <v>347980</v>
      </c>
      <c r="F9" s="536">
        <v>347980</v>
      </c>
      <c r="G9" s="536">
        <v>347980</v>
      </c>
      <c r="H9" s="536">
        <v>347980</v>
      </c>
      <c r="I9" s="536">
        <v>347980</v>
      </c>
      <c r="J9" s="536">
        <f>73980+274000</f>
        <v>347980</v>
      </c>
      <c r="K9" s="540"/>
      <c r="L9" s="766"/>
      <c r="M9" s="766"/>
      <c r="N9" s="766"/>
      <c r="O9" s="766"/>
      <c r="P9" s="766"/>
      <c r="Q9" s="538"/>
      <c r="R9" s="540"/>
      <c r="S9" s="536">
        <v>347980</v>
      </c>
      <c r="T9" s="536">
        <v>347980</v>
      </c>
      <c r="U9" s="536">
        <v>347980</v>
      </c>
      <c r="V9" s="536">
        <v>347980</v>
      </c>
      <c r="W9" s="932">
        <f t="shared" si="0"/>
        <v>347980</v>
      </c>
      <c r="X9" s="538">
        <f>V9/U9</f>
        <v>1</v>
      </c>
    </row>
    <row r="10" spans="1:24" ht="29.25" customHeight="1">
      <c r="A10" s="1090">
        <v>6</v>
      </c>
      <c r="B10" s="872" t="s">
        <v>571</v>
      </c>
      <c r="C10" s="1091" t="s">
        <v>208</v>
      </c>
      <c r="D10" s="536"/>
      <c r="E10" s="536">
        <v>144780</v>
      </c>
      <c r="F10" s="536">
        <v>144780</v>
      </c>
      <c r="G10" s="536">
        <v>144780</v>
      </c>
      <c r="H10" s="536">
        <v>144780</v>
      </c>
      <c r="I10" s="536">
        <v>144780</v>
      </c>
      <c r="J10" s="536">
        <f>30780+114000</f>
        <v>144780</v>
      </c>
      <c r="K10" s="540"/>
      <c r="L10" s="766"/>
      <c r="M10" s="766"/>
      <c r="N10" s="766"/>
      <c r="O10" s="766"/>
      <c r="P10" s="766"/>
      <c r="Q10" s="538"/>
      <c r="R10" s="540"/>
      <c r="S10" s="536">
        <v>144780</v>
      </c>
      <c r="T10" s="536">
        <v>144780</v>
      </c>
      <c r="U10" s="536">
        <v>144780</v>
      </c>
      <c r="V10" s="536">
        <v>144780</v>
      </c>
      <c r="W10" s="932">
        <f t="shared" si="0"/>
        <v>144780</v>
      </c>
      <c r="X10" s="538"/>
    </row>
    <row r="11" spans="1:24" ht="29.25" customHeight="1">
      <c r="A11" s="1090">
        <v>7</v>
      </c>
      <c r="B11" s="71" t="s">
        <v>573</v>
      </c>
      <c r="C11" s="1091" t="s">
        <v>208</v>
      </c>
      <c r="D11" s="536"/>
      <c r="E11" s="536"/>
      <c r="F11" s="536">
        <f>262500+70875</f>
        <v>333375</v>
      </c>
      <c r="G11" s="536">
        <f>262500+70875</f>
        <v>333375</v>
      </c>
      <c r="H11" s="536">
        <f>262500+70875</f>
        <v>333375</v>
      </c>
      <c r="I11" s="536">
        <f>70875+311844</f>
        <v>382719</v>
      </c>
      <c r="J11" s="536">
        <f>70875+311844</f>
        <v>382719</v>
      </c>
      <c r="K11" s="540"/>
      <c r="L11" s="766"/>
      <c r="M11" s="766"/>
      <c r="N11" s="766"/>
      <c r="O11" s="766"/>
      <c r="P11" s="766"/>
      <c r="Q11" s="538"/>
      <c r="R11" s="540"/>
      <c r="S11" s="536"/>
      <c r="T11" s="536">
        <f>262500+70875</f>
        <v>333375</v>
      </c>
      <c r="U11" s="536">
        <f>262500+70875</f>
        <v>333375</v>
      </c>
      <c r="V11" s="536">
        <f>262500+70875</f>
        <v>333375</v>
      </c>
      <c r="W11" s="932">
        <f t="shared" si="0"/>
        <v>382719</v>
      </c>
      <c r="X11" s="538"/>
    </row>
    <row r="12" spans="1:24" ht="29.25" customHeight="1">
      <c r="A12" s="1090">
        <v>8</v>
      </c>
      <c r="B12" s="74" t="s">
        <v>574</v>
      </c>
      <c r="C12" s="1091" t="s">
        <v>208</v>
      </c>
      <c r="D12" s="536"/>
      <c r="E12" s="536"/>
      <c r="F12" s="536">
        <f>70866+19134</f>
        <v>90000</v>
      </c>
      <c r="G12" s="536">
        <f>70866+19134</f>
        <v>90000</v>
      </c>
      <c r="H12" s="536">
        <f>70866+19134</f>
        <v>90000</v>
      </c>
      <c r="I12" s="536">
        <f>70866+19134</f>
        <v>90000</v>
      </c>
      <c r="J12" s="536">
        <f>19134+70866</f>
        <v>90000</v>
      </c>
      <c r="K12" s="540"/>
      <c r="L12" s="766"/>
      <c r="M12" s="766"/>
      <c r="N12" s="766"/>
      <c r="O12" s="766"/>
      <c r="P12" s="766"/>
      <c r="Q12" s="538"/>
      <c r="R12" s="540"/>
      <c r="S12" s="536"/>
      <c r="T12" s="536">
        <f>70866+19134</f>
        <v>90000</v>
      </c>
      <c r="U12" s="536">
        <f>70866+19134</f>
        <v>90000</v>
      </c>
      <c r="V12" s="536">
        <f>70866+19134</f>
        <v>90000</v>
      </c>
      <c r="W12" s="932">
        <f t="shared" si="0"/>
        <v>90000</v>
      </c>
      <c r="X12" s="538"/>
    </row>
    <row r="13" spans="1:24" ht="29.25" customHeight="1">
      <c r="A13" s="1090">
        <v>9</v>
      </c>
      <c r="B13" s="71" t="s">
        <v>577</v>
      </c>
      <c r="C13" s="1091" t="s">
        <v>208</v>
      </c>
      <c r="D13" s="536"/>
      <c r="E13" s="536"/>
      <c r="F13" s="536">
        <v>198000</v>
      </c>
      <c r="G13" s="536">
        <v>198000</v>
      </c>
      <c r="H13" s="536">
        <v>198000</v>
      </c>
      <c r="I13" s="536">
        <v>198000</v>
      </c>
      <c r="J13" s="536">
        <v>198000</v>
      </c>
      <c r="K13" s="540"/>
      <c r="L13" s="766"/>
      <c r="M13" s="766">
        <v>198000</v>
      </c>
      <c r="N13" s="766">
        <v>198000</v>
      </c>
      <c r="O13" s="766">
        <v>198000</v>
      </c>
      <c r="P13" s="766">
        <v>198000</v>
      </c>
      <c r="Q13" s="538" t="e">
        <f>N13/L13</f>
        <v>#DIV/0!</v>
      </c>
      <c r="R13" s="540"/>
      <c r="S13" s="536"/>
      <c r="T13" s="536"/>
      <c r="U13" s="536">
        <f aca="true" t="shared" si="1" ref="U13:V16">G13-N13</f>
        <v>0</v>
      </c>
      <c r="V13" s="536">
        <f t="shared" si="1"/>
        <v>0</v>
      </c>
      <c r="W13" s="932">
        <f t="shared" si="0"/>
        <v>0</v>
      </c>
      <c r="X13" s="538" t="e">
        <f>U13/S13</f>
        <v>#DIV/0!</v>
      </c>
    </row>
    <row r="14" spans="1:24" ht="43.5" customHeight="1">
      <c r="A14" s="1090">
        <v>10</v>
      </c>
      <c r="B14" s="872" t="s">
        <v>581</v>
      </c>
      <c r="C14" s="1091" t="s">
        <v>208</v>
      </c>
      <c r="D14" s="536"/>
      <c r="E14" s="536"/>
      <c r="F14" s="536"/>
      <c r="G14" s="536">
        <f>2471702+667359</f>
        <v>3139061</v>
      </c>
      <c r="H14" s="536">
        <f>2471702+667359</f>
        <v>3139061</v>
      </c>
      <c r="I14" s="536">
        <f>2471702+667359</f>
        <v>3139061</v>
      </c>
      <c r="J14" s="536">
        <f>667359+2471702</f>
        <v>3139061</v>
      </c>
      <c r="K14" s="540"/>
      <c r="L14" s="766"/>
      <c r="M14" s="766"/>
      <c r="N14" s="63">
        <f>2471702+667359</f>
        <v>3139061</v>
      </c>
      <c r="O14" s="63">
        <f>2471702+667359</f>
        <v>3139061</v>
      </c>
      <c r="P14" s="63">
        <f>2471702+667359</f>
        <v>3139061</v>
      </c>
      <c r="Q14" s="538" t="e">
        <f>N14/L14</f>
        <v>#DIV/0!</v>
      </c>
      <c r="R14" s="540"/>
      <c r="S14" s="536"/>
      <c r="T14" s="536"/>
      <c r="U14" s="536">
        <f t="shared" si="1"/>
        <v>0</v>
      </c>
      <c r="V14" s="536">
        <f t="shared" si="1"/>
        <v>0</v>
      </c>
      <c r="W14" s="932">
        <f t="shared" si="0"/>
        <v>0</v>
      </c>
      <c r="X14" s="538" t="e">
        <f>U14/S14</f>
        <v>#DIV/0!</v>
      </c>
    </row>
    <row r="15" spans="1:24" ht="43.5" customHeight="1">
      <c r="A15" s="1090">
        <v>11</v>
      </c>
      <c r="B15" s="872" t="s">
        <v>582</v>
      </c>
      <c r="C15" s="1091" t="s">
        <v>208</v>
      </c>
      <c r="D15" s="536"/>
      <c r="E15" s="536"/>
      <c r="F15" s="536"/>
      <c r="G15" s="536">
        <f>44106114+11908650</f>
        <v>56014764</v>
      </c>
      <c r="H15" s="536">
        <f>44106114+11908650</f>
        <v>56014764</v>
      </c>
      <c r="I15" s="536">
        <f>44106114+11908650</f>
        <v>56014764</v>
      </c>
      <c r="J15" s="536"/>
      <c r="K15" s="540"/>
      <c r="L15" s="766"/>
      <c r="M15" s="766"/>
      <c r="N15" s="63">
        <f>44106114+11908650</f>
        <v>56014764</v>
      </c>
      <c r="O15" s="63">
        <f>44106114+11908650</f>
        <v>56014764</v>
      </c>
      <c r="P15" s="63">
        <f>44106114+11908650</f>
        <v>56014764</v>
      </c>
      <c r="Q15" s="538"/>
      <c r="R15" s="540"/>
      <c r="S15" s="536"/>
      <c r="T15" s="536"/>
      <c r="U15" s="536">
        <f t="shared" si="1"/>
        <v>0</v>
      </c>
      <c r="V15" s="536">
        <f t="shared" si="1"/>
        <v>0</v>
      </c>
      <c r="W15" s="932">
        <f t="shared" si="0"/>
        <v>0</v>
      </c>
      <c r="X15" s="538"/>
    </row>
    <row r="16" spans="1:24" ht="43.5" customHeight="1">
      <c r="A16" s="1090">
        <v>12</v>
      </c>
      <c r="B16" s="872" t="s">
        <v>583</v>
      </c>
      <c r="C16" s="1091" t="s">
        <v>208</v>
      </c>
      <c r="D16" s="536"/>
      <c r="E16" s="536"/>
      <c r="F16" s="536"/>
      <c r="G16" s="536">
        <f>20985589+5666108</f>
        <v>26651697</v>
      </c>
      <c r="H16" s="536">
        <f>20985589+5666108</f>
        <v>26651697</v>
      </c>
      <c r="I16" s="536">
        <f>20985589+5666108</f>
        <v>26651697</v>
      </c>
      <c r="J16" s="536">
        <f>222437+823839</f>
        <v>1046276</v>
      </c>
      <c r="K16" s="540"/>
      <c r="L16" s="766"/>
      <c r="M16" s="766"/>
      <c r="N16" s="63">
        <f>20985589+5666108</f>
        <v>26651697</v>
      </c>
      <c r="O16" s="63">
        <f>20985589+5666108</f>
        <v>26651697</v>
      </c>
      <c r="P16" s="63">
        <f>20985589+5666108</f>
        <v>26651697</v>
      </c>
      <c r="Q16" s="538"/>
      <c r="R16" s="540"/>
      <c r="S16" s="536"/>
      <c r="T16" s="536"/>
      <c r="U16" s="536">
        <f t="shared" si="1"/>
        <v>0</v>
      </c>
      <c r="V16" s="536">
        <f t="shared" si="1"/>
        <v>0</v>
      </c>
      <c r="W16" s="932">
        <f t="shared" si="0"/>
        <v>0</v>
      </c>
      <c r="X16" s="538"/>
    </row>
    <row r="17" spans="1:24" ht="43.5" customHeight="1">
      <c r="A17" s="1090">
        <v>13</v>
      </c>
      <c r="B17" s="872" t="s">
        <v>591</v>
      </c>
      <c r="C17" s="1091" t="s">
        <v>208</v>
      </c>
      <c r="D17" s="536"/>
      <c r="E17" s="536"/>
      <c r="F17" s="536"/>
      <c r="G17" s="536"/>
      <c r="H17" s="536">
        <f>23836+6436</f>
        <v>30272</v>
      </c>
      <c r="I17" s="536">
        <f>23836+6436</f>
        <v>30272</v>
      </c>
      <c r="J17" s="536">
        <f>23836+6436</f>
        <v>30272</v>
      </c>
      <c r="K17" s="540"/>
      <c r="L17" s="766"/>
      <c r="M17" s="1061"/>
      <c r="N17" s="1062"/>
      <c r="O17" s="766"/>
      <c r="P17" s="766"/>
      <c r="Q17" s="538"/>
      <c r="R17" s="540"/>
      <c r="S17" s="536"/>
      <c r="T17" s="536"/>
      <c r="U17" s="536"/>
      <c r="V17" s="536">
        <f>23836+6436</f>
        <v>30272</v>
      </c>
      <c r="W17" s="932">
        <f t="shared" si="0"/>
        <v>30272</v>
      </c>
      <c r="X17" s="538"/>
    </row>
    <row r="18" spans="1:24" ht="43.5" customHeight="1">
      <c r="A18" s="1090">
        <v>14</v>
      </c>
      <c r="B18" s="872" t="s">
        <v>592</v>
      </c>
      <c r="C18" s="1091" t="s">
        <v>208</v>
      </c>
      <c r="D18" s="536"/>
      <c r="E18" s="536"/>
      <c r="F18" s="536"/>
      <c r="G18" s="536"/>
      <c r="H18" s="536">
        <f>55274+14924</f>
        <v>70198</v>
      </c>
      <c r="I18" s="536">
        <f>55274+14924</f>
        <v>70198</v>
      </c>
      <c r="J18" s="536">
        <f>55274+14924</f>
        <v>70198</v>
      </c>
      <c r="K18" s="540"/>
      <c r="L18" s="766"/>
      <c r="M18" s="1061"/>
      <c r="N18" s="1062"/>
      <c r="O18" s="766"/>
      <c r="P18" s="766"/>
      <c r="Q18" s="538"/>
      <c r="R18" s="540"/>
      <c r="S18" s="536"/>
      <c r="T18" s="536"/>
      <c r="U18" s="536"/>
      <c r="V18" s="536">
        <f>55274+14924</f>
        <v>70198</v>
      </c>
      <c r="W18" s="932">
        <f t="shared" si="0"/>
        <v>70198</v>
      </c>
      <c r="X18" s="538"/>
    </row>
    <row r="19" spans="1:24" ht="43.5" customHeight="1">
      <c r="A19" s="1090">
        <v>15</v>
      </c>
      <c r="B19" s="872" t="s">
        <v>593</v>
      </c>
      <c r="C19" s="1091" t="s">
        <v>208</v>
      </c>
      <c r="D19" s="536"/>
      <c r="E19" s="536"/>
      <c r="F19" s="536"/>
      <c r="G19" s="536"/>
      <c r="H19" s="536">
        <f>51181+13819</f>
        <v>65000</v>
      </c>
      <c r="I19" s="536">
        <f>51181+13819</f>
        <v>65000</v>
      </c>
      <c r="J19" s="536">
        <f>13819+51181</f>
        <v>65000</v>
      </c>
      <c r="K19" s="540"/>
      <c r="L19" s="766"/>
      <c r="M19" s="1061"/>
      <c r="N19" s="1062"/>
      <c r="O19" s="766"/>
      <c r="P19" s="766"/>
      <c r="Q19" s="538"/>
      <c r="R19" s="540"/>
      <c r="S19" s="536"/>
      <c r="T19" s="536"/>
      <c r="U19" s="536"/>
      <c r="V19" s="536">
        <f>51181+13819</f>
        <v>65000</v>
      </c>
      <c r="W19" s="932">
        <f t="shared" si="0"/>
        <v>65000</v>
      </c>
      <c r="X19" s="538"/>
    </row>
    <row r="20" spans="1:24" ht="43.5" customHeight="1">
      <c r="A20" s="1090">
        <v>16</v>
      </c>
      <c r="B20" s="872" t="s">
        <v>606</v>
      </c>
      <c r="C20" s="532" t="s">
        <v>208</v>
      </c>
      <c r="D20" s="536"/>
      <c r="E20" s="536"/>
      <c r="F20" s="536"/>
      <c r="G20" s="536"/>
      <c r="H20" s="536"/>
      <c r="I20" s="1067">
        <f>192482+712898</f>
        <v>905380</v>
      </c>
      <c r="J20" s="1067">
        <f>192482+712898</f>
        <v>905380</v>
      </c>
      <c r="K20" s="540"/>
      <c r="L20" s="766"/>
      <c r="M20" s="1061"/>
      <c r="N20" s="1062"/>
      <c r="O20" s="766"/>
      <c r="P20" s="766"/>
      <c r="Q20" s="538"/>
      <c r="R20" s="540"/>
      <c r="S20" s="536"/>
      <c r="T20" s="536"/>
      <c r="U20" s="536"/>
      <c r="V20" s="536"/>
      <c r="W20" s="932">
        <f t="shared" si="0"/>
        <v>905380</v>
      </c>
      <c r="X20" s="538"/>
    </row>
    <row r="21" spans="1:24" ht="43.5" customHeight="1" hidden="1">
      <c r="A21" s="1090"/>
      <c r="B21" s="872"/>
      <c r="C21" s="1091"/>
      <c r="D21" s="536"/>
      <c r="E21" s="536"/>
      <c r="F21" s="536"/>
      <c r="G21" s="536"/>
      <c r="H21" s="536"/>
      <c r="I21" s="1067"/>
      <c r="J21" s="1067"/>
      <c r="K21" s="540"/>
      <c r="L21" s="766"/>
      <c r="M21" s="1061"/>
      <c r="N21" s="1062"/>
      <c r="O21" s="766"/>
      <c r="P21" s="766"/>
      <c r="Q21" s="538"/>
      <c r="R21" s="540"/>
      <c r="S21" s="536"/>
      <c r="T21" s="536"/>
      <c r="U21" s="536"/>
      <c r="V21" s="536"/>
      <c r="W21" s="932">
        <f t="shared" si="0"/>
        <v>0</v>
      </c>
      <c r="X21" s="538"/>
    </row>
    <row r="22" spans="1:24" ht="29.25" customHeight="1" thickBot="1">
      <c r="A22" s="1090">
        <v>16</v>
      </c>
      <c r="B22" s="73" t="s">
        <v>605</v>
      </c>
      <c r="C22" s="1091" t="s">
        <v>208</v>
      </c>
      <c r="D22" s="536"/>
      <c r="E22" s="536"/>
      <c r="F22" s="536"/>
      <c r="G22" s="536"/>
      <c r="H22" s="536"/>
      <c r="I22" s="63">
        <v>356000</v>
      </c>
      <c r="J22" s="63">
        <f>54638+301362</f>
        <v>356000</v>
      </c>
      <c r="K22" s="540"/>
      <c r="L22" s="766"/>
      <c r="M22" s="1059"/>
      <c r="N22" s="1059"/>
      <c r="O22" s="766"/>
      <c r="P22" s="766"/>
      <c r="Q22" s="538" t="e">
        <f>N22/L22</f>
        <v>#DIV/0!</v>
      </c>
      <c r="R22" s="540"/>
      <c r="S22" s="536"/>
      <c r="T22" s="536"/>
      <c r="U22" s="536">
        <f>G22-N22</f>
        <v>0</v>
      </c>
      <c r="V22" s="536"/>
      <c r="W22" s="932">
        <f t="shared" si="0"/>
        <v>356000</v>
      </c>
      <c r="X22" s="538" t="e">
        <f>U22/S22</f>
        <v>#DIV/0!</v>
      </c>
    </row>
    <row r="23" spans="1:24" ht="31.5" customHeight="1" thickBot="1">
      <c r="A23" s="1228" t="s">
        <v>1</v>
      </c>
      <c r="B23" s="1231"/>
      <c r="C23" s="1081"/>
      <c r="D23" s="537">
        <f>SUM(D5:D11)</f>
        <v>11276042</v>
      </c>
      <c r="E23" s="537">
        <f>SUM(E5:E11)</f>
        <v>11768802</v>
      </c>
      <c r="F23" s="537">
        <f>SUM(F5:F13)</f>
        <v>12414157</v>
      </c>
      <c r="G23" s="537">
        <f>SUM(G5:G16)</f>
        <v>98219679</v>
      </c>
      <c r="H23" s="537">
        <f>SUM(H5:H22)</f>
        <v>98385149</v>
      </c>
      <c r="I23" s="764">
        <f>SUM(I5:I22)</f>
        <v>98741149</v>
      </c>
      <c r="J23" s="764">
        <f>SUM(J5:J22)</f>
        <v>9923814</v>
      </c>
      <c r="K23" s="537">
        <f aca="true" t="shared" si="2" ref="K23:P23">SUM(K5:K22)</f>
        <v>0</v>
      </c>
      <c r="L23" s="764">
        <f t="shared" si="2"/>
        <v>0</v>
      </c>
      <c r="M23" s="764">
        <f t="shared" si="2"/>
        <v>198000</v>
      </c>
      <c r="N23" s="764">
        <f t="shared" si="2"/>
        <v>86003522</v>
      </c>
      <c r="O23" s="764">
        <f t="shared" si="2"/>
        <v>86003522</v>
      </c>
      <c r="P23" s="764">
        <f t="shared" si="2"/>
        <v>86003522</v>
      </c>
      <c r="Q23" s="765">
        <f>O23/N23</f>
        <v>1</v>
      </c>
      <c r="R23" s="537">
        <f>SUM(R5:R22)</f>
        <v>11276042</v>
      </c>
      <c r="S23" s="537">
        <f>SUM(S5:S11)</f>
        <v>11768802</v>
      </c>
      <c r="T23" s="537">
        <f>SUM(T5:T11)</f>
        <v>12126157</v>
      </c>
      <c r="U23" s="537">
        <f>SUM(U5:U16)</f>
        <v>12216157</v>
      </c>
      <c r="V23" s="537">
        <f>SUM(V5:V22)</f>
        <v>12381627</v>
      </c>
      <c r="W23" s="764">
        <f>SUM(W5:W22)</f>
        <v>12737627</v>
      </c>
      <c r="X23" s="765">
        <f>V23/U23</f>
        <v>1.0135451762776133</v>
      </c>
    </row>
    <row r="24" spans="1:23" ht="15.75">
      <c r="A24" s="1075"/>
      <c r="B24" s="1075"/>
      <c r="C24" s="1092"/>
      <c r="D24" s="976" t="str">
        <f>IF(D23='4.sz.m.ÖNK kiadás'!E18," ","HIBA - nem egyenlő főlappal")</f>
        <v> </v>
      </c>
      <c r="E24" s="55"/>
      <c r="F24" s="55"/>
      <c r="G24" s="55"/>
      <c r="H24" s="55"/>
      <c r="I24" s="55"/>
      <c r="J24" s="55">
        <f>+I24-I23</f>
        <v>-98741149</v>
      </c>
      <c r="K24" s="55"/>
      <c r="L24" s="55"/>
      <c r="M24" s="55"/>
      <c r="N24" s="55"/>
      <c r="O24" s="55"/>
      <c r="P24" s="55"/>
      <c r="Q24" s="55"/>
      <c r="R24" s="55"/>
      <c r="T24" s="1093"/>
      <c r="W24" s="1093"/>
    </row>
    <row r="25" spans="1:23" ht="15.75">
      <c r="A25" s="1075"/>
      <c r="B25" s="1075"/>
      <c r="C25" s="1092"/>
      <c r="D25" s="1094" t="str">
        <f>IF(K23+R23=D23," ","HIBA-NEM EGYENLŐ")</f>
        <v> 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T25" s="1093"/>
      <c r="U25" s="1093"/>
      <c r="W25" s="1093"/>
    </row>
    <row r="26" spans="1:18" ht="14.25">
      <c r="A26" s="1230" t="s">
        <v>60</v>
      </c>
      <c r="B26" s="1230"/>
      <c r="C26" s="1230"/>
      <c r="D26" s="1230"/>
      <c r="E26" s="1230"/>
      <c r="F26" s="1230"/>
      <c r="G26" s="1230"/>
      <c r="H26" s="1230"/>
      <c r="I26" s="1230"/>
      <c r="J26" s="1230"/>
      <c r="K26" s="1230"/>
      <c r="L26" s="1230"/>
      <c r="M26" s="1230"/>
      <c r="N26" s="1230"/>
      <c r="O26" s="1230"/>
      <c r="P26" s="1230"/>
      <c r="Q26" s="1230"/>
      <c r="R26" s="1230"/>
    </row>
    <row r="27" spans="1:18" ht="13.5" thickBot="1">
      <c r="A27" s="1095"/>
      <c r="B27" s="1095"/>
      <c r="D27" s="1095"/>
      <c r="E27" s="1095"/>
      <c r="F27" s="1095"/>
      <c r="G27" s="1095"/>
      <c r="H27" s="1095"/>
      <c r="I27" s="1095"/>
      <c r="J27" s="1095"/>
      <c r="K27" s="1095"/>
      <c r="L27" s="1095"/>
      <c r="M27" s="1095"/>
      <c r="N27" s="1095"/>
      <c r="O27" s="1095"/>
      <c r="P27" s="1095"/>
      <c r="Q27" s="1095"/>
      <c r="R27" s="1095"/>
    </row>
    <row r="28" spans="1:24" ht="29.25" customHeight="1" thickBot="1">
      <c r="A28" s="1079" t="s">
        <v>6</v>
      </c>
      <c r="B28" s="1080" t="s">
        <v>31</v>
      </c>
      <c r="C28" s="1081" t="s">
        <v>270</v>
      </c>
      <c r="D28" s="1222" t="s">
        <v>5</v>
      </c>
      <c r="E28" s="1223"/>
      <c r="F28" s="1223"/>
      <c r="G28" s="1223"/>
      <c r="H28" s="1223"/>
      <c r="I28" s="1223"/>
      <c r="J28" s="1224"/>
      <c r="K28" s="1225" t="s">
        <v>271</v>
      </c>
      <c r="L28" s="1226"/>
      <c r="M28" s="1226"/>
      <c r="N28" s="1226"/>
      <c r="O28" s="1226"/>
      <c r="P28" s="1226"/>
      <c r="Q28" s="1227"/>
      <c r="R28" s="1225" t="s">
        <v>26</v>
      </c>
      <c r="S28" s="1226"/>
      <c r="T28" s="1226"/>
      <c r="U28" s="1226"/>
      <c r="V28" s="1226"/>
      <c r="W28" s="1226"/>
      <c r="X28" s="1227"/>
    </row>
    <row r="29" spans="1:24" ht="28.5" customHeight="1" thickBot="1">
      <c r="A29" s="1096"/>
      <c r="B29" s="1097"/>
      <c r="C29" s="1098"/>
      <c r="D29" s="1086" t="s">
        <v>65</v>
      </c>
      <c r="E29" s="1087" t="s">
        <v>229</v>
      </c>
      <c r="F29" s="1087" t="s">
        <v>232</v>
      </c>
      <c r="G29" s="1088" t="s">
        <v>234</v>
      </c>
      <c r="H29" s="1088" t="s">
        <v>248</v>
      </c>
      <c r="I29" s="1088" t="s">
        <v>253</v>
      </c>
      <c r="J29" s="1088" t="s">
        <v>238</v>
      </c>
      <c r="K29" s="1086" t="s">
        <v>65</v>
      </c>
      <c r="L29" s="1087" t="s">
        <v>229</v>
      </c>
      <c r="M29" s="1087" t="s">
        <v>232</v>
      </c>
      <c r="N29" s="1088" t="s">
        <v>234</v>
      </c>
      <c r="O29" s="1088" t="s">
        <v>248</v>
      </c>
      <c r="P29" s="1088" t="s">
        <v>253</v>
      </c>
      <c r="Q29" s="1089" t="s">
        <v>238</v>
      </c>
      <c r="R29" s="1086" t="s">
        <v>65</v>
      </c>
      <c r="S29" s="1087" t="s">
        <v>229</v>
      </c>
      <c r="T29" s="1087" t="s">
        <v>232</v>
      </c>
      <c r="U29" s="1088" t="s">
        <v>234</v>
      </c>
      <c r="V29" s="1088" t="s">
        <v>248</v>
      </c>
      <c r="W29" s="1088" t="s">
        <v>253</v>
      </c>
      <c r="X29" s="1089" t="s">
        <v>238</v>
      </c>
    </row>
    <row r="30" spans="1:24" ht="29.25" customHeight="1">
      <c r="A30" s="1099">
        <v>1</v>
      </c>
      <c r="B30" s="75" t="s">
        <v>530</v>
      </c>
      <c r="C30" s="530" t="s">
        <v>208</v>
      </c>
      <c r="D30" s="541">
        <v>20000000</v>
      </c>
      <c r="E30" s="541">
        <v>20000000</v>
      </c>
      <c r="F30" s="541">
        <v>20000000</v>
      </c>
      <c r="G30" s="541">
        <v>20000000</v>
      </c>
      <c r="H30" s="541">
        <v>20000000</v>
      </c>
      <c r="I30" s="541">
        <f>20000000-440000-76200</f>
        <v>19483800</v>
      </c>
      <c r="J30" s="541">
        <f>3891397+14412582</f>
        <v>18303979</v>
      </c>
      <c r="K30" s="1100"/>
      <c r="L30" s="1101"/>
      <c r="M30" s="1101"/>
      <c r="N30" s="1101"/>
      <c r="O30" s="1101"/>
      <c r="P30" s="1101"/>
      <c r="Q30" s="538"/>
      <c r="R30" s="541">
        <v>20000000</v>
      </c>
      <c r="S30" s="541">
        <v>20000000</v>
      </c>
      <c r="T30" s="534">
        <f aca="true" t="shared" si="3" ref="T30:W42">F30-M30</f>
        <v>20000000</v>
      </c>
      <c r="U30" s="534">
        <f t="shared" si="3"/>
        <v>20000000</v>
      </c>
      <c r="V30" s="534">
        <f t="shared" si="3"/>
        <v>20000000</v>
      </c>
      <c r="W30" s="534">
        <f t="shared" si="3"/>
        <v>19483800</v>
      </c>
      <c r="X30" s="538">
        <f aca="true" t="shared" si="4" ref="X30:X36">V30/U30</f>
        <v>1</v>
      </c>
    </row>
    <row r="31" spans="1:24" ht="29.25" customHeight="1">
      <c r="A31" s="1102">
        <v>2</v>
      </c>
      <c r="B31" s="76" t="s">
        <v>531</v>
      </c>
      <c r="C31" s="531" t="s">
        <v>208</v>
      </c>
      <c r="D31" s="542">
        <v>15000000</v>
      </c>
      <c r="E31" s="542">
        <v>15000000</v>
      </c>
      <c r="F31" s="542">
        <f>15000000+2096176+565968</f>
        <v>17662144</v>
      </c>
      <c r="G31" s="542">
        <f>15000000+2096176+565968</f>
        <v>17662144</v>
      </c>
      <c r="H31" s="542">
        <f>15000000+2096176+565968+3515789+949263</f>
        <v>22127196</v>
      </c>
      <c r="I31" s="542">
        <f>15000000+2096176+565968+3515789+949263+2516550+679469</f>
        <v>25323215</v>
      </c>
      <c r="J31" s="542">
        <f>240000+180000+60000+180000+9979160+260429+325536*10+64800+48600+16200+48600+2694373+70316+87895*10-1</f>
        <v>17976787</v>
      </c>
      <c r="K31" s="540"/>
      <c r="L31" s="766"/>
      <c r="M31" s="766"/>
      <c r="N31" s="766"/>
      <c r="O31" s="766"/>
      <c r="P31" s="766"/>
      <c r="Q31" s="538"/>
      <c r="R31" s="542">
        <v>15000000</v>
      </c>
      <c r="S31" s="542">
        <v>15000000</v>
      </c>
      <c r="T31" s="534">
        <f t="shared" si="3"/>
        <v>17662144</v>
      </c>
      <c r="U31" s="534">
        <f t="shared" si="3"/>
        <v>17662144</v>
      </c>
      <c r="V31" s="534">
        <f t="shared" si="3"/>
        <v>22127196</v>
      </c>
      <c r="W31" s="534">
        <f t="shared" si="3"/>
        <v>25323215</v>
      </c>
      <c r="X31" s="538">
        <f t="shared" si="4"/>
        <v>1.252803510151429</v>
      </c>
    </row>
    <row r="32" spans="1:24" ht="29.25" customHeight="1">
      <c r="A32" s="1102">
        <v>3</v>
      </c>
      <c r="B32" s="72" t="s">
        <v>532</v>
      </c>
      <c r="C32" s="1091" t="s">
        <v>208</v>
      </c>
      <c r="D32" s="536">
        <v>10000000</v>
      </c>
      <c r="E32" s="536">
        <v>10000000</v>
      </c>
      <c r="F32" s="536">
        <v>10000000</v>
      </c>
      <c r="G32" s="536">
        <v>10000000</v>
      </c>
      <c r="H32" s="536">
        <v>10000000</v>
      </c>
      <c r="I32" s="536">
        <v>10000000</v>
      </c>
      <c r="J32" s="536">
        <f>1759483+227642+500000+274050+475061+61464</f>
        <v>3297700</v>
      </c>
      <c r="K32" s="540"/>
      <c r="L32" s="766"/>
      <c r="M32" s="766"/>
      <c r="N32" s="766"/>
      <c r="O32" s="766"/>
      <c r="P32" s="766"/>
      <c r="Q32" s="538"/>
      <c r="R32" s="536">
        <v>10000000</v>
      </c>
      <c r="S32" s="536">
        <v>10000000</v>
      </c>
      <c r="T32" s="534">
        <f t="shared" si="3"/>
        <v>10000000</v>
      </c>
      <c r="U32" s="534">
        <f t="shared" si="3"/>
        <v>10000000</v>
      </c>
      <c r="V32" s="534">
        <f t="shared" si="3"/>
        <v>10000000</v>
      </c>
      <c r="W32" s="534">
        <f t="shared" si="3"/>
        <v>10000000</v>
      </c>
      <c r="X32" s="538">
        <f t="shared" si="4"/>
        <v>1</v>
      </c>
    </row>
    <row r="33" spans="1:24" ht="29.25" customHeight="1">
      <c r="A33" s="1102">
        <v>4</v>
      </c>
      <c r="B33" s="71" t="s">
        <v>533</v>
      </c>
      <c r="C33" s="529" t="s">
        <v>208</v>
      </c>
      <c r="D33" s="534">
        <v>40000000</v>
      </c>
      <c r="E33" s="534">
        <v>40000000</v>
      </c>
      <c r="F33" s="534">
        <f>40000000+200000+13866930+3744071</f>
        <v>57811001</v>
      </c>
      <c r="G33" s="534">
        <f>40000000+200000+13866930+3744071+2093572+565264</f>
        <v>60469837</v>
      </c>
      <c r="H33" s="534">
        <f>40000000+200000+13866930+3744071+2093572+565264</f>
        <v>60469837</v>
      </c>
      <c r="I33" s="534">
        <f>40000000+200000+13866930+3744071+2093572+565264+2610582+704857</f>
        <v>63785276</v>
      </c>
      <c r="J33" s="534">
        <f>200000+2093571+1784938+22189074+565264+481933+5911050</f>
        <v>33225830</v>
      </c>
      <c r="K33" s="534">
        <v>40000000</v>
      </c>
      <c r="L33" s="534">
        <v>40000000</v>
      </c>
      <c r="M33" s="534">
        <v>40000000</v>
      </c>
      <c r="N33" s="534">
        <v>40000000</v>
      </c>
      <c r="O33" s="534">
        <v>40000000</v>
      </c>
      <c r="P33" s="534">
        <v>40000000</v>
      </c>
      <c r="Q33" s="538"/>
      <c r="R33" s="534"/>
      <c r="S33" s="534"/>
      <c r="T33" s="534">
        <f t="shared" si="3"/>
        <v>17811001</v>
      </c>
      <c r="U33" s="534">
        <f t="shared" si="3"/>
        <v>20469837</v>
      </c>
      <c r="V33" s="534">
        <f t="shared" si="3"/>
        <v>20469837</v>
      </c>
      <c r="W33" s="534">
        <f t="shared" si="3"/>
        <v>23785276</v>
      </c>
      <c r="X33" s="538">
        <f t="shared" si="4"/>
        <v>1</v>
      </c>
    </row>
    <row r="34" spans="1:24" ht="29.25" customHeight="1">
      <c r="A34" s="1102">
        <v>5</v>
      </c>
      <c r="B34" s="71" t="s">
        <v>534</v>
      </c>
      <c r="C34" s="529" t="s">
        <v>208</v>
      </c>
      <c r="D34" s="534">
        <v>635000</v>
      </c>
      <c r="E34" s="534">
        <v>635000</v>
      </c>
      <c r="F34" s="534">
        <v>635000</v>
      </c>
      <c r="G34" s="534">
        <v>635000</v>
      </c>
      <c r="H34" s="534">
        <v>635000</v>
      </c>
      <c r="I34" s="534">
        <v>635000</v>
      </c>
      <c r="J34" s="534">
        <f>+500000+135000</f>
        <v>635000</v>
      </c>
      <c r="K34" s="540"/>
      <c r="L34" s="766"/>
      <c r="M34" s="766"/>
      <c r="N34" s="766"/>
      <c r="O34" s="766"/>
      <c r="P34" s="766"/>
      <c r="Q34" s="538"/>
      <c r="R34" s="534">
        <v>635000</v>
      </c>
      <c r="S34" s="534">
        <v>635000</v>
      </c>
      <c r="T34" s="534">
        <f t="shared" si="3"/>
        <v>635000</v>
      </c>
      <c r="U34" s="534">
        <f t="shared" si="3"/>
        <v>635000</v>
      </c>
      <c r="V34" s="534">
        <f t="shared" si="3"/>
        <v>635000</v>
      </c>
      <c r="W34" s="534">
        <f t="shared" si="3"/>
        <v>635000</v>
      </c>
      <c r="X34" s="538">
        <f t="shared" si="4"/>
        <v>1</v>
      </c>
    </row>
    <row r="35" spans="1:24" ht="29.25" customHeight="1">
      <c r="A35" s="1102">
        <v>6</v>
      </c>
      <c r="B35" s="71" t="s">
        <v>535</v>
      </c>
      <c r="C35" s="532" t="s">
        <v>208</v>
      </c>
      <c r="D35" s="534">
        <v>8000000</v>
      </c>
      <c r="E35" s="534">
        <v>8000000</v>
      </c>
      <c r="F35" s="534">
        <f>8000000+200787+54213</f>
        <v>8255000</v>
      </c>
      <c r="G35" s="534">
        <f>8000000+200787+54213</f>
        <v>8255000</v>
      </c>
      <c r="H35" s="534">
        <f>8000000+200787+54213</f>
        <v>8255000</v>
      </c>
      <c r="I35" s="534">
        <f>8000000+200787+54213</f>
        <v>8255000</v>
      </c>
      <c r="J35" s="534">
        <f>877500+3250000+877500+3250000</f>
        <v>8255000</v>
      </c>
      <c r="K35" s="539"/>
      <c r="L35" s="929"/>
      <c r="M35" s="929"/>
      <c r="N35" s="929"/>
      <c r="O35" s="929"/>
      <c r="P35" s="929"/>
      <c r="Q35" s="538"/>
      <c r="R35" s="534">
        <v>8000000</v>
      </c>
      <c r="S35" s="534">
        <v>8000000</v>
      </c>
      <c r="T35" s="534">
        <f t="shared" si="3"/>
        <v>8255000</v>
      </c>
      <c r="U35" s="534">
        <f t="shared" si="3"/>
        <v>8255000</v>
      </c>
      <c r="V35" s="534">
        <f t="shared" si="3"/>
        <v>8255000</v>
      </c>
      <c r="W35" s="534">
        <f t="shared" si="3"/>
        <v>8255000</v>
      </c>
      <c r="X35" s="538">
        <f t="shared" si="4"/>
        <v>1</v>
      </c>
    </row>
    <row r="36" spans="1:24" ht="29.25" customHeight="1">
      <c r="A36" s="1102">
        <v>7</v>
      </c>
      <c r="B36" s="71" t="s">
        <v>536</v>
      </c>
      <c r="C36" s="532" t="s">
        <v>208</v>
      </c>
      <c r="D36" s="534">
        <v>1000000</v>
      </c>
      <c r="E36" s="534">
        <v>1000000</v>
      </c>
      <c r="F36" s="534">
        <f>1000000+84694+22868</f>
        <v>1107562</v>
      </c>
      <c r="G36" s="534">
        <f>1000000+84694+22868</f>
        <v>1107562</v>
      </c>
      <c r="H36" s="534">
        <f>1000000+84694+22868</f>
        <v>1107562</v>
      </c>
      <c r="I36" s="534">
        <f>1000000+84694+22868</f>
        <v>1107562</v>
      </c>
      <c r="J36" s="534">
        <f>872095+235466</f>
        <v>1107561</v>
      </c>
      <c r="K36" s="539"/>
      <c r="L36" s="929"/>
      <c r="M36" s="929"/>
      <c r="N36" s="929"/>
      <c r="O36" s="929"/>
      <c r="P36" s="929"/>
      <c r="Q36" s="538"/>
      <c r="R36" s="534">
        <v>1000000</v>
      </c>
      <c r="S36" s="534">
        <v>1000000</v>
      </c>
      <c r="T36" s="534">
        <f t="shared" si="3"/>
        <v>1107562</v>
      </c>
      <c r="U36" s="534">
        <f t="shared" si="3"/>
        <v>1107562</v>
      </c>
      <c r="V36" s="534">
        <f t="shared" si="3"/>
        <v>1107562</v>
      </c>
      <c r="W36" s="534">
        <f t="shared" si="3"/>
        <v>1107562</v>
      </c>
      <c r="X36" s="538">
        <f t="shared" si="4"/>
        <v>1</v>
      </c>
    </row>
    <row r="37" spans="1:24" ht="29.25" customHeight="1">
      <c r="A37" s="1102">
        <v>8</v>
      </c>
      <c r="B37" s="71" t="s">
        <v>584</v>
      </c>
      <c r="C37" s="532" t="s">
        <v>208</v>
      </c>
      <c r="D37" s="534"/>
      <c r="E37" s="534"/>
      <c r="F37" s="534">
        <v>499567</v>
      </c>
      <c r="G37" s="534">
        <v>499567</v>
      </c>
      <c r="H37" s="534">
        <v>499567</v>
      </c>
      <c r="I37" s="534">
        <v>499567</v>
      </c>
      <c r="J37" s="534">
        <f>393360+106207</f>
        <v>499567</v>
      </c>
      <c r="K37" s="539"/>
      <c r="L37" s="929"/>
      <c r="M37" s="929"/>
      <c r="N37" s="929"/>
      <c r="O37" s="930"/>
      <c r="P37" s="930"/>
      <c r="Q37" s="538"/>
      <c r="R37" s="539"/>
      <c r="S37" s="539"/>
      <c r="T37" s="534">
        <f t="shared" si="3"/>
        <v>499567</v>
      </c>
      <c r="U37" s="534">
        <f t="shared" si="3"/>
        <v>499567</v>
      </c>
      <c r="V37" s="534">
        <f t="shared" si="3"/>
        <v>499567</v>
      </c>
      <c r="W37" s="534">
        <f t="shared" si="3"/>
        <v>499567</v>
      </c>
      <c r="X37" s="538"/>
    </row>
    <row r="38" spans="1:24" ht="48.75" customHeight="1">
      <c r="A38" s="1102">
        <v>9</v>
      </c>
      <c r="B38" s="71" t="s">
        <v>585</v>
      </c>
      <c r="C38" s="532" t="s">
        <v>208</v>
      </c>
      <c r="D38" s="534"/>
      <c r="E38" s="534"/>
      <c r="F38" s="534"/>
      <c r="G38" s="534">
        <f>56477430+15248904</f>
        <v>71726334</v>
      </c>
      <c r="H38" s="534">
        <f>56477430+15248904</f>
        <v>71726334</v>
      </c>
      <c r="I38" s="534">
        <f>56477430+15248904</f>
        <v>71726334</v>
      </c>
      <c r="J38" s="534">
        <f>1079060+291346</f>
        <v>1370406</v>
      </c>
      <c r="K38" s="539"/>
      <c r="L38" s="929"/>
      <c r="M38" s="929"/>
      <c r="N38" s="929">
        <v>71726334</v>
      </c>
      <c r="O38" s="929">
        <v>71726334</v>
      </c>
      <c r="P38" s="929">
        <v>71726334</v>
      </c>
      <c r="Q38" s="538" t="e">
        <f>N38/L38</f>
        <v>#DIV/0!</v>
      </c>
      <c r="R38" s="539"/>
      <c r="S38" s="539"/>
      <c r="T38" s="534">
        <f t="shared" si="3"/>
        <v>0</v>
      </c>
      <c r="U38" s="534">
        <f t="shared" si="3"/>
        <v>0</v>
      </c>
      <c r="V38" s="534"/>
      <c r="W38" s="534">
        <f t="shared" si="3"/>
        <v>0</v>
      </c>
      <c r="X38" s="538" t="e">
        <f>U38/S38</f>
        <v>#DIV/0!</v>
      </c>
    </row>
    <row r="39" spans="1:24" ht="28.5" customHeight="1">
      <c r="A39" s="1102">
        <v>10</v>
      </c>
      <c r="B39" s="1063" t="s">
        <v>594</v>
      </c>
      <c r="C39" s="532" t="s">
        <v>208</v>
      </c>
      <c r="D39" s="534"/>
      <c r="E39" s="534"/>
      <c r="F39" s="534"/>
      <c r="G39" s="534"/>
      <c r="H39" s="534">
        <f>1891455+510693</f>
        <v>2402148</v>
      </c>
      <c r="I39" s="534">
        <f>1891455+510693</f>
        <v>2402148</v>
      </c>
      <c r="J39" s="534">
        <f>1891455+510693</f>
        <v>2402148</v>
      </c>
      <c r="K39" s="539"/>
      <c r="L39" s="929"/>
      <c r="M39" s="929"/>
      <c r="N39" s="929"/>
      <c r="O39" s="931"/>
      <c r="P39" s="931"/>
      <c r="Q39" s="538"/>
      <c r="R39" s="539"/>
      <c r="S39" s="539"/>
      <c r="T39" s="534"/>
      <c r="U39" s="534"/>
      <c r="V39" s="534">
        <f>1891455+510693</f>
        <v>2402148</v>
      </c>
      <c r="W39" s="534">
        <f t="shared" si="3"/>
        <v>2402148</v>
      </c>
      <c r="X39" s="538"/>
    </row>
    <row r="40" spans="1:24" ht="28.5" customHeight="1">
      <c r="A40" s="1102">
        <v>11</v>
      </c>
      <c r="B40" s="1063" t="s">
        <v>604</v>
      </c>
      <c r="C40" s="532" t="s">
        <v>208</v>
      </c>
      <c r="D40" s="534"/>
      <c r="E40" s="534"/>
      <c r="F40" s="534"/>
      <c r="G40" s="534"/>
      <c r="H40" s="534"/>
      <c r="I40" s="534">
        <f>1851829+499994</f>
        <v>2351823</v>
      </c>
      <c r="J40" s="534">
        <f>1851829+499994</f>
        <v>2351823</v>
      </c>
      <c r="K40" s="539"/>
      <c r="L40" s="929"/>
      <c r="M40" s="929"/>
      <c r="N40" s="929"/>
      <c r="O40" s="931"/>
      <c r="P40" s="931"/>
      <c r="Q40" s="538"/>
      <c r="R40" s="539"/>
      <c r="S40" s="539"/>
      <c r="T40" s="534"/>
      <c r="U40" s="534"/>
      <c r="V40" s="534"/>
      <c r="W40" s="534">
        <f t="shared" si="3"/>
        <v>2351823</v>
      </c>
      <c r="X40" s="538"/>
    </row>
    <row r="41" spans="1:24" ht="48.75" customHeight="1">
      <c r="A41" s="1102">
        <v>12</v>
      </c>
      <c r="B41" s="1063" t="s">
        <v>608</v>
      </c>
      <c r="C41" s="532" t="s">
        <v>208</v>
      </c>
      <c r="D41" s="534"/>
      <c r="E41" s="534"/>
      <c r="F41" s="534"/>
      <c r="G41" s="534"/>
      <c r="H41" s="534"/>
      <c r="I41" s="534">
        <f>93543+346457</f>
        <v>440000</v>
      </c>
      <c r="J41" s="534">
        <f>93543+346457</f>
        <v>440000</v>
      </c>
      <c r="K41" s="539"/>
      <c r="L41" s="929"/>
      <c r="M41" s="929"/>
      <c r="N41" s="929"/>
      <c r="O41" s="931"/>
      <c r="P41" s="931"/>
      <c r="Q41" s="538"/>
      <c r="R41" s="539"/>
      <c r="S41" s="539"/>
      <c r="T41" s="534"/>
      <c r="U41" s="534"/>
      <c r="V41" s="534"/>
      <c r="W41" s="534">
        <f t="shared" si="3"/>
        <v>440000</v>
      </c>
      <c r="X41" s="538"/>
    </row>
    <row r="42" spans="1:24" ht="29.25" customHeight="1" thickBot="1">
      <c r="A42" s="1102">
        <v>13</v>
      </c>
      <c r="B42" s="77" t="s">
        <v>609</v>
      </c>
      <c r="C42" s="532" t="s">
        <v>208</v>
      </c>
      <c r="D42" s="534"/>
      <c r="E42" s="534"/>
      <c r="F42" s="534"/>
      <c r="G42" s="534"/>
      <c r="H42" s="534"/>
      <c r="I42" s="534">
        <f>16200+60000</f>
        <v>76200</v>
      </c>
      <c r="J42" s="534">
        <f>16200+60000</f>
        <v>76200</v>
      </c>
      <c r="K42" s="539"/>
      <c r="L42" s="929"/>
      <c r="M42" s="929"/>
      <c r="N42" s="929"/>
      <c r="O42" s="931"/>
      <c r="P42" s="931"/>
      <c r="Q42" s="538" t="e">
        <f>N42/L42</f>
        <v>#DIV/0!</v>
      </c>
      <c r="R42" s="539"/>
      <c r="S42" s="539"/>
      <c r="T42" s="534">
        <f t="shared" si="3"/>
        <v>0</v>
      </c>
      <c r="U42" s="534">
        <f t="shared" si="3"/>
        <v>0</v>
      </c>
      <c r="V42" s="534"/>
      <c r="W42" s="534">
        <f t="shared" si="3"/>
        <v>76200</v>
      </c>
      <c r="X42" s="538" t="e">
        <f>U42/S42</f>
        <v>#DIV/0!</v>
      </c>
    </row>
    <row r="43" spans="1:24" ht="29.25" customHeight="1" thickBot="1">
      <c r="A43" s="1228" t="s">
        <v>1</v>
      </c>
      <c r="B43" s="1229"/>
      <c r="C43" s="1081"/>
      <c r="D43" s="537">
        <f aca="true" t="shared" si="5" ref="D43:J43">SUM(D30:D42)</f>
        <v>94635000</v>
      </c>
      <c r="E43" s="537">
        <f t="shared" si="5"/>
        <v>94635000</v>
      </c>
      <c r="F43" s="537">
        <f t="shared" si="5"/>
        <v>115970274</v>
      </c>
      <c r="G43" s="537">
        <f t="shared" si="5"/>
        <v>190355444</v>
      </c>
      <c r="H43" s="537">
        <f t="shared" si="5"/>
        <v>197222644</v>
      </c>
      <c r="I43" s="537">
        <f t="shared" si="5"/>
        <v>206085925</v>
      </c>
      <c r="J43" s="537">
        <f t="shared" si="5"/>
        <v>89942001</v>
      </c>
      <c r="K43" s="537">
        <f aca="true" t="shared" si="6" ref="K43:P43">SUM(K30:K42)</f>
        <v>40000000</v>
      </c>
      <c r="L43" s="764">
        <f t="shared" si="6"/>
        <v>40000000</v>
      </c>
      <c r="M43" s="764">
        <f>SUM(M30:M42)</f>
        <v>40000000</v>
      </c>
      <c r="N43" s="764">
        <f t="shared" si="6"/>
        <v>111726334</v>
      </c>
      <c r="O43" s="764">
        <f t="shared" si="6"/>
        <v>111726334</v>
      </c>
      <c r="P43" s="764">
        <f t="shared" si="6"/>
        <v>111726334</v>
      </c>
      <c r="Q43" s="765">
        <f>O43/N43</f>
        <v>1</v>
      </c>
      <c r="R43" s="537">
        <f aca="true" t="shared" si="7" ref="R43:W43">SUM(R30:R42)</f>
        <v>54635000</v>
      </c>
      <c r="S43" s="537">
        <f t="shared" si="7"/>
        <v>54635000</v>
      </c>
      <c r="T43" s="537">
        <f t="shared" si="7"/>
        <v>75970274</v>
      </c>
      <c r="U43" s="537">
        <f t="shared" si="7"/>
        <v>78629110</v>
      </c>
      <c r="V43" s="537">
        <f t="shared" si="7"/>
        <v>85496310</v>
      </c>
      <c r="W43" s="764">
        <f t="shared" si="7"/>
        <v>94359591</v>
      </c>
      <c r="X43" s="765">
        <f>V43/U43</f>
        <v>1.0873366110846225</v>
      </c>
    </row>
    <row r="44" spans="4:10" ht="15.75">
      <c r="D44" s="976" t="str">
        <f>IF(D43='4.sz.m.ÖNK kiadás'!E19," ","HIBA - nem egyenlő főlappal")</f>
        <v> </v>
      </c>
      <c r="J44" s="1093">
        <v>88902078</v>
      </c>
    </row>
    <row r="45" spans="4:18" ht="12.75">
      <c r="D45" s="1103" t="str">
        <f>IF(K43+R43=D43," ","HIBA-NEM EGYENLŐ")</f>
        <v> </v>
      </c>
      <c r="J45" s="1093">
        <f>+J44-J43</f>
        <v>-1039923</v>
      </c>
      <c r="K45" s="1093"/>
      <c r="L45" s="1093"/>
      <c r="M45" s="1093"/>
      <c r="N45" s="1093"/>
      <c r="O45" s="1093"/>
      <c r="P45" s="1093"/>
      <c r="Q45" s="1093"/>
      <c r="R45" s="1093"/>
    </row>
    <row r="46" ht="12.75">
      <c r="U46" s="1093"/>
    </row>
  </sheetData>
  <sheetProtection/>
  <mergeCells count="10">
    <mergeCell ref="D28:J28"/>
    <mergeCell ref="K28:Q28"/>
    <mergeCell ref="R28:X28"/>
    <mergeCell ref="A43:B43"/>
    <mergeCell ref="A1:R1"/>
    <mergeCell ref="D3:J3"/>
    <mergeCell ref="K3:Q3"/>
    <mergeCell ref="R3:X3"/>
    <mergeCell ref="A23:B23"/>
    <mergeCell ref="A26:R26"/>
  </mergeCells>
  <printOptions horizontalCentered="1"/>
  <pageMargins left="0.5905511811023623" right="0.5905511811023623" top="1.0901041666666667" bottom="0.7874015748031497" header="0.5118110236220472" footer="0.31496062992125984"/>
  <pageSetup fitToHeight="1" fitToWidth="1" horizontalDpi="300" verticalDpi="300" orientation="landscape" paperSize="9" scale="35" r:id="rId1"/>
  <headerFooter alignWithMargins="0">
    <oddHeader xml:space="preserve">&amp;CÖNKORMÁNYZATI BERUHÁZÁSOK ÉS FELÚJÍTÁSOK
2017.
&amp;R&amp;"Arial CE,Félkövér dőlt"7/a számú melléklet 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Reni</cp:lastModifiedBy>
  <cp:lastPrinted>2017-02-27T15:14:38Z</cp:lastPrinted>
  <dcterms:created xsi:type="dcterms:W3CDTF">2000-01-07T08:44:52Z</dcterms:created>
  <dcterms:modified xsi:type="dcterms:W3CDTF">2018-03-18T21:08:01Z</dcterms:modified>
  <cp:category/>
  <cp:version/>
  <cp:contentType/>
  <cp:contentStatus/>
</cp:coreProperties>
</file>